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108" windowWidth="22020" windowHeight="7968" activeTab="2"/>
  </bookViews>
  <sheets>
    <sheet name="Title and Info" sheetId="6" r:id="rId1"/>
    <sheet name="1-UHI Reflec" sheetId="5" r:id="rId2"/>
    <sheet name="2-ASG" sheetId="3" r:id="rId3"/>
    <sheet name="3-GMEEB" sheetId="2" r:id="rId4"/>
    <sheet name="4-GW Urbanization" sheetId="7" r:id="rId5"/>
  </sheets>
  <calcPr calcId="145621"/>
</workbook>
</file>

<file path=xl/calcChain.xml><?xml version="1.0" encoding="utf-8"?>
<calcChain xmlns="http://schemas.openxmlformats.org/spreadsheetml/2006/main">
  <c r="G14" i="3" l="1"/>
  <c r="F14" i="3"/>
  <c r="H9" i="3"/>
  <c r="H13" i="3" s="1"/>
  <c r="G9" i="3"/>
  <c r="F9" i="3"/>
  <c r="F80" i="5" l="1"/>
  <c r="F79" i="5"/>
  <c r="F77" i="5"/>
  <c r="J42" i="2"/>
  <c r="J41" i="2"/>
  <c r="F76" i="5"/>
  <c r="D78" i="5"/>
  <c r="D76" i="5"/>
  <c r="E78" i="5"/>
  <c r="E76" i="5"/>
  <c r="G14" i="7"/>
  <c r="F13" i="7"/>
  <c r="F10" i="7"/>
  <c r="F23" i="7" l="1"/>
  <c r="F26" i="7"/>
  <c r="F20" i="7"/>
  <c r="F14" i="7"/>
  <c r="G13" i="7"/>
  <c r="F7" i="7"/>
  <c r="G23" i="7" l="1"/>
  <c r="G20" i="7"/>
  <c r="G7" i="7"/>
  <c r="G10" i="7" s="1"/>
  <c r="G25" i="5"/>
  <c r="G44" i="5"/>
  <c r="G26" i="7" l="1"/>
  <c r="G30" i="7" s="1"/>
  <c r="D33" i="5"/>
  <c r="F42" i="5" s="1"/>
  <c r="G41" i="5" s="1"/>
  <c r="F32" i="5" l="1"/>
  <c r="G31" i="5" s="1"/>
  <c r="D14" i="5"/>
  <c r="G36" i="5" l="1"/>
  <c r="F35" i="5"/>
  <c r="G33" i="5"/>
  <c r="G38" i="5" s="1"/>
  <c r="F13" i="5"/>
  <c r="G12" i="5" s="1"/>
  <c r="F16" i="5" s="1"/>
  <c r="F23" i="5" l="1"/>
  <c r="G22" i="5" s="1"/>
  <c r="G17" i="5" l="1"/>
  <c r="F39" i="3"/>
  <c r="G14" i="5" l="1"/>
  <c r="G19" i="5" s="1"/>
  <c r="I30" i="3"/>
  <c r="I28" i="3"/>
  <c r="F45" i="3"/>
  <c r="G13" i="3" l="1"/>
  <c r="F13" i="3"/>
  <c r="C27" i="3"/>
  <c r="F27" i="3"/>
  <c r="G27" i="3"/>
  <c r="H27" i="3"/>
  <c r="E27" i="3"/>
  <c r="D27" i="3"/>
  <c r="F53" i="3"/>
  <c r="F55" i="3" s="1"/>
  <c r="H30" i="3" l="1"/>
  <c r="H31" i="3" s="1"/>
  <c r="G30" i="3"/>
  <c r="G31" i="3" s="1"/>
  <c r="F30" i="3"/>
  <c r="F31" i="3" s="1"/>
  <c r="E30" i="3"/>
  <c r="E31" i="3" s="1"/>
  <c r="D28" i="3"/>
  <c r="D29" i="3" s="1"/>
  <c r="C30" i="3"/>
  <c r="C31" i="3" s="1"/>
  <c r="H28" i="3" l="1"/>
  <c r="H29" i="3" s="1"/>
  <c r="G28" i="3"/>
  <c r="G29" i="3" s="1"/>
  <c r="F28" i="3"/>
  <c r="F29" i="3" s="1"/>
  <c r="E28" i="3"/>
  <c r="E29" i="3" s="1"/>
  <c r="C28" i="3"/>
  <c r="C29" i="3" s="1"/>
  <c r="D30" i="3"/>
  <c r="D31" i="3" s="1"/>
  <c r="H43" i="2" l="1"/>
  <c r="I43" i="2" s="1"/>
  <c r="H41" i="2"/>
  <c r="I41" i="2" s="1"/>
  <c r="J45" i="2" l="1"/>
  <c r="J44" i="2"/>
  <c r="J10" i="2"/>
  <c r="J9" i="2"/>
  <c r="I10" i="2"/>
  <c r="I9" i="2"/>
  <c r="I11" i="2" l="1"/>
  <c r="J11" i="2"/>
  <c r="K10" i="2" l="1"/>
  <c r="H10" i="2" s="1"/>
  <c r="K9" i="2"/>
  <c r="M9" i="2" s="1"/>
  <c r="L9" i="2" l="1"/>
  <c r="G9" i="2"/>
  <c r="O9" i="2" s="1"/>
  <c r="P9" i="2" s="1"/>
  <c r="H9" i="2"/>
  <c r="K11" i="2"/>
  <c r="M10" i="2"/>
  <c r="M11" i="2" l="1"/>
  <c r="M12" i="2" s="1"/>
  <c r="H11" i="2"/>
  <c r="H12" i="2" s="1"/>
  <c r="Q9" i="2"/>
  <c r="L10" i="2"/>
  <c r="G10" i="2"/>
  <c r="Q10" i="2" s="1"/>
  <c r="K12" i="2"/>
  <c r="P10" i="2" l="1"/>
  <c r="P11" i="2" s="1"/>
  <c r="P12" i="2" s="1"/>
  <c r="O10" i="2"/>
  <c r="L11" i="2"/>
  <c r="O11" i="2" l="1"/>
  <c r="O12" i="2" s="1"/>
  <c r="Q17" i="2" s="1"/>
  <c r="P17" i="2" s="1"/>
  <c r="L12" i="2"/>
  <c r="G11" i="2"/>
  <c r="G12" i="2" s="1"/>
</calcChain>
</file>

<file path=xl/comments1.xml><?xml version="1.0" encoding="utf-8"?>
<comments xmlns="http://schemas.openxmlformats.org/spreadsheetml/2006/main">
  <authors>
    <author>Alec</author>
  </authors>
  <commentList>
    <comment ref="E12" authorId="0">
      <text>
        <r>
          <rPr>
            <b/>
            <sz val="9"/>
            <color indexed="81"/>
            <rFont val="Tahoma"/>
            <family val="2"/>
          </rPr>
          <t>This is the average solar radiation falling on the Earth in a 24 hour period. Typically this is 1361W/m2 *.5 *.5=340.25W/m2 where half is the curvature of the Earth and half is for day night. This is unrelated to cloud coverage. That parameter is irradiance.</t>
        </r>
      </text>
    </comment>
    <comment ref="E13" authorId="0">
      <text>
        <r>
          <rPr>
            <b/>
            <sz val="9"/>
            <color indexed="81"/>
            <rFont val="Tahoma"/>
            <family val="2"/>
          </rPr>
          <t>Example
LA or Phoenix area of the city is about 1.3E3 km2</t>
        </r>
      </text>
    </comment>
    <comment ref="E14" authorId="0">
      <text>
        <r>
          <rPr>
            <b/>
            <sz val="9"/>
            <color indexed="81"/>
            <rFont val="Tahoma"/>
            <family val="2"/>
          </rPr>
          <t>This is the area that will be brightened. For exampe if 40% of a city is paved and all 40% will be treated put in 0.4 x Area of the city (=0.4*1300) for a city with 1300 Km2. Area of rooftops can be as large as 25% of the city area if this is to be included.</t>
        </r>
      </text>
    </comment>
    <comment ref="E15" authorId="0">
      <text>
        <r>
          <rPr>
            <b/>
            <sz val="9"/>
            <color indexed="81"/>
            <rFont val="Tahoma"/>
            <family val="2"/>
          </rPr>
          <t>This is the reflectivity of asphalt roads in your city typically about 0.1 for 10% reflective called albedo for old roads and 0.4 for new roads.</t>
        </r>
      </text>
    </comment>
    <comment ref="E16" authorId="0">
      <text>
        <r>
          <rPr>
            <b/>
            <sz val="9"/>
            <color indexed="81"/>
            <rFont val="Tahoma"/>
            <family val="2"/>
          </rPr>
          <t>How much more reflective they can be made. Reflective pavements vary possibly as high as 5 times the old pavement. Use 0.4 for 40% reflective pavement improvement. Albedo is another word for reflectivity.</t>
        </r>
      </text>
    </comment>
    <comment ref="E17" authorId="0">
      <text>
        <r>
          <rPr>
            <b/>
            <sz val="9"/>
            <color indexed="81"/>
            <rFont val="Tahoma"/>
            <family val="2"/>
          </rPr>
          <t>The average irradiance on the Earth according to the IPCC mean Earth energy budges is 0.47. This is related to cloud coverage. If you are in an area like Phoenix you would use a much higher values say 0.85.</t>
        </r>
      </text>
    </comment>
    <comment ref="E18" authorId="0">
      <text>
        <r>
          <rPr>
            <b/>
            <sz val="9"/>
            <color indexed="81"/>
            <rFont val="Tahoma"/>
            <family val="2"/>
          </rPr>
          <t xml:space="preserve">Average air temperatue at about 2 meters off the ground. </t>
        </r>
      </text>
    </comment>
    <comment ref="E19" authorId="0">
      <text>
        <r>
          <rPr>
            <b/>
            <sz val="9"/>
            <color indexed="81"/>
            <rFont val="Tahoma"/>
            <family val="2"/>
          </rPr>
          <t xml:space="preserve">For large UHIs with say 40 to 60% pavements like LA use about 25% insert 25. </t>
        </r>
      </text>
    </comment>
    <comment ref="E20" authorId="0">
      <text>
        <r>
          <rPr>
            <sz val="9"/>
            <color indexed="81"/>
            <rFont val="Tahoma"/>
            <family val="2"/>
          </rPr>
          <t xml:space="preserve">HT is an impermeable surface area that is amplified. Suggested values are as follows:
 Rural Areas 1.1
 Dry climate for large UHI city: HT=1.2
 Humid climates for large UHI cities HT=2.55
 Humid climate for very large UHI cities (china) HT=3.2
 Mixed Dry and Humid climates for large UHIs: HT= 2.2
</t>
        </r>
      </text>
    </comment>
    <comment ref="B21" authorId="0">
      <text>
        <r>
          <rPr>
            <b/>
            <sz val="11"/>
            <color indexed="81"/>
            <rFont val="Tahoma"/>
            <family val="2"/>
          </rPr>
          <t>Enter values in green squares, Results is to the right side.
Example of use and results (green Area)
Row 1: Enter Average energy falling on Earth  (W/m2)  Enter 340.25  (see comment)Row 
Row 2: Enter Area of City (km2). Enter 1300  (size of LA see comment)
Row 3: Enter Area of City (km2) to be brightened. Enter =1300*.65=845  (size of LA see comment) paved area and roofs)
Row 4: Enter albedo of the area to be brightened before application. Enter 0.1 for old pavement  (see comment)
Row 5: Enter albedo of the area to be brightened after application. Enter 0.4 for treated pavement  (see comment)
Row 6: Irradiance is the average amount of Sunlight for the city. For example the average sunlight on the earth is 46%, for this we enter 0.46. For a city like LA it is about 70% (enter 0.7)
Row 7: Average temperature of the area. This is not a sensitive parameter.  For LA it is likely around 25C
Row 8: Surface to Air percent at about 5 feet height. This is not well known and need an estimate. For a large city like LA and 40% road brightening, the calibration estimate is 25% of the surface temperature will equate to the air temperature change. Enter 25. This means that if the surface temperature is 40F the air temperature is about 10F. The 25% estimate is based on the MIT study which we have calibrated to. See the below calculator.
Row 9: HT value. This is the UHI microclimate temperature heat amplification factor. See the ref. papers. For cities in humid area use about 2.5 for dry cities like Pheonex use 1.2. For mixed use 2.2, for very humid use 3.2.
Read Results in Column G
For these inputs it is possible to obtain an estimated Air Temperature Change of 9.6F.</t>
        </r>
      </text>
    </comment>
    <comment ref="E31" authorId="0">
      <text>
        <r>
          <rPr>
            <b/>
            <sz val="9"/>
            <color indexed="81"/>
            <rFont val="Tahoma"/>
            <family val="2"/>
          </rPr>
          <t>This is the average solar radiation falling on the Earth in a 24 hour period. Typically this is 1361W/m2 *.5 *.5=340.25W/m2 where half is the curvature of the Earth and half is for day night. This is unrelated to cloud coverage. That parameter is irradiance.</t>
        </r>
      </text>
    </comment>
    <comment ref="E32" authorId="0">
      <text>
        <r>
          <rPr>
            <b/>
            <sz val="9"/>
            <color indexed="81"/>
            <rFont val="Tahoma"/>
            <family val="2"/>
          </rPr>
          <t>Example
LA or Phoenix area of the city is about 1.3E3 km2</t>
        </r>
      </text>
    </comment>
    <comment ref="E33" authorId="0">
      <text>
        <r>
          <rPr>
            <b/>
            <sz val="9"/>
            <color indexed="81"/>
            <rFont val="Tahoma"/>
            <family val="2"/>
          </rPr>
          <t>This is the area that will be brightened. For exampe if 40% of a city is paved and all 40% will be treated put in 0.4 x Area of the city (=0.4*1300) for a city with 1300 Km2. Area of rooftops can be as large as 25% of the city area if this is to be included.</t>
        </r>
      </text>
    </comment>
    <comment ref="E36" authorId="0">
      <text>
        <r>
          <rPr>
            <b/>
            <sz val="9"/>
            <color indexed="81"/>
            <rFont val="Tahoma"/>
            <family val="2"/>
          </rPr>
          <t>The average irradiance on the Earth according to the IPCC mean Earth energy budges is 0.47. This is related to cloud coverage. If you are in an area like Phoenix you would use a much higher values say 0.85.</t>
        </r>
      </text>
    </comment>
    <comment ref="E37" authorId="0">
      <text>
        <r>
          <rPr>
            <b/>
            <sz val="9"/>
            <color indexed="81"/>
            <rFont val="Tahoma"/>
            <family val="2"/>
          </rPr>
          <t xml:space="preserve">Average air temperatue at about 2 meters off the ground. </t>
        </r>
      </text>
    </comment>
    <comment ref="E38" authorId="0">
      <text>
        <r>
          <rPr>
            <b/>
            <sz val="9"/>
            <color indexed="81"/>
            <rFont val="Tahoma"/>
            <family val="2"/>
          </rPr>
          <t xml:space="preserve">For large UHIs with say 40 to 60% pavements like LA use about 25% insert 25. </t>
        </r>
      </text>
    </comment>
    <comment ref="E39" authorId="0">
      <text>
        <r>
          <rPr>
            <sz val="9"/>
            <color indexed="81"/>
            <rFont val="Tahoma"/>
            <family val="2"/>
          </rPr>
          <t xml:space="preserve">HT is an impermeable surface area that is amplified. Suggested values are as follows:
 Rural Areas 1.1
 Dry climate for large UHI city: HT=1.2
 Humid climates for large UHI cities HT=2.55
 Humid climate for very large UHI cities (china) HT=3.2
 Mixed Dry and Humid climates for large UHIs: HT= 2.2
</t>
        </r>
      </text>
    </comment>
    <comment ref="B40" authorId="0">
      <text>
        <r>
          <rPr>
            <b/>
            <sz val="11"/>
            <color indexed="81"/>
            <rFont val="Tahoma"/>
            <family val="2"/>
          </rPr>
          <t>Enter values in green squares, Results is to the right side.
Example To Demonstrate This Calculator Yields Results of 2020 MIT Study
Row 1: Enter Average energy falling on Earth  (W/m2)  Enter 340.25  (see comment)Row Row 2: Enter Area of City (km2). Enter 1300  (size of LA see comment)
Row 3: Enter Area of City (km2) to be brightened. Enter =1300*.4=520km2  (size of LA see comment) paved area)
Row 4: Enter albedo of the area to be brightened before application. Enter 0.1 for old pavement  (see comment)
Row 5: Enter albedo of the area to be brightened after application. Enter 0.3 for treated pavement  (MIT Study used 20% increase in reflectivity)
Row 6: Irradiance is the average amount of Sunlight for the city. For example the average sunlight on the earth is 46%, for this we enter 0.46. For a city like LA it is about 70% (enter 0.7)
Row 7: Average temperature of the area. This is not a sensitive parameter.  For LA it is likely around 25C
Row 8: Surface to Air percent at about 5 feet height. This is not well known and need an estimate. For a large city like LA and 40% road brightening, the calibration estimate is 25% of the surface temperature will equate to the air temperature change. Enter 25. This means that if the surface temperature is 40F the air temperature is about 10F.
Row 9: HT value. This is the UHI microclimate temperature heat amplification factor. See the ref. papers. For cities in humid area use about 2.5 for dry cities like Pheonex use 1.2. For mixed use 2.2, for very humid use 3.2.
Read Results in Column G
For these inputs it is possible to obtain an estimated Air Temperature Change of 2.5F.</t>
        </r>
      </text>
    </comment>
  </commentList>
</comments>
</file>

<file path=xl/comments2.xml><?xml version="1.0" encoding="utf-8"?>
<comments xmlns="http://schemas.openxmlformats.org/spreadsheetml/2006/main">
  <authors>
    <author>Alec</author>
  </authors>
  <commentList>
    <comment ref="B13" authorId="0">
      <text>
        <r>
          <rPr>
            <sz val="16"/>
            <color indexed="81"/>
            <rFont val="Tahoma"/>
            <family val="2"/>
          </rPr>
          <t>Enter in Green Squares
Answer is in areas F and  G
First we need to Define our Annual Global Warming Goal in terms of W/m2
Example
Row 1: Enter the annual global warming goal. In 2022 the rate of GW was about 0.019C/year 
Then eneter 0.019 in Cell D8
Row 2: Enter the total Global Warming so far. In 2022 we had about a 1C rise enter 1 in cell D9
Row 3: Enter average Earth Temp 14.5 (About 14.5C) in cell D10
Back Ground Climate
Row 4: Enter feedback Amp. factor (see paper) it is now about 2.15, i.e. the climate a bit more than doubles the forcing due to feedback (mainly water vapor). To convert from feedback Amplification factor to feedback units see the last calculator here. 
Row 5: Enter the re-radiaiton factor about 0.62 for 62%.
Read Cell cell F9 the yearly reversal needed without the background climate
Read in Cell F13 0.029Wm2 for the actual reversal needed (about 0.02/1.62/2.15)
See paper for more details.
Compare SG with CO2 removal requirments for a reversal in Cell D9 with results for SG in G13 and for CO2 in H13 with SG efficiency compared to CO2 removal in Cell G14</t>
        </r>
        <r>
          <rPr>
            <sz val="9"/>
            <color indexed="81"/>
            <rFont val="Tahoma"/>
            <family val="2"/>
          </rPr>
          <t xml:space="preserve">
</t>
        </r>
      </text>
    </comment>
    <comment ref="B32" authorId="0">
      <text>
        <r>
          <rPr>
            <sz val="14"/>
            <color indexed="81"/>
            <rFont val="Tahoma"/>
            <family val="2"/>
          </rPr>
          <t>Enter in green squares 
Read in yellow areas
Examples - Pavement &amp; Roofs Column C (Green Areas)
Row 1: Enter annual reversal needed from Cell F13 its about 0.029Wm2 in 2022
Enter 0.029 cell C20
Row2: Enter average irradiance (sunlight percent) in area for reflective improvement area with clouds etc. Earth surface is about 0.47 (for 47%)
Enter 0.47 in Cell C21
Row3: Enter outgoing probability that reflective readiation makes it through the clouds: use 1 if not known. Results will give the the minimum SG surface area. Earths average irradiance is 0.47 (47% irradiance) the Bayes probability is for this 0.78 (See Appendix for Bayes estimate)
Enter 1 or 0.78 cell C22
Row4: Sspace factor this is for spade sunshade and not applicable for pavements use 1 to skip Enter 1 Cell C23
Row5: Enter Delta Alpha this is the Earth brightening area change say 0.5 for 50%. Here we might start with a reflective surface of 0.1 for pavement and increase it to 0.6. Then Delta alpha is 0.5
 Enter 0.5 in Cell C24
Row6: Enter the HT factor. This is the UHI heat temperature amplification factor if we are in an UHI area. Usee 1 if not applicable or about 1.1 for rural, 1.2 for Dry UHIs, 2.5-3.1 for humid UHI, 2.2 for mixed 
Enter 1 in Cell C25 to start as it may be rural areas
Row7: Enter the background climate Amplification factor currently about 2.15 (i.e., feedback slightly more than doubles the forcing).
Enter 2.15 in Cell C26
Read the areas and radius required for Earth brightening of 50% in yellow squares Areas C27-C31. This is the area needed to brighten to mitigate an annual global warming increase of 0.02C.</t>
        </r>
      </text>
    </comment>
    <comment ref="B56" authorId="0">
      <text>
        <r>
          <rPr>
            <sz val="18"/>
            <color indexed="81"/>
            <rFont val="Tahoma"/>
            <family val="2"/>
          </rPr>
          <t>The IPCC AR6 Table 7.10 (Foster et al., 2021) shows approximations with the CMIP6 ESMs interval of about -1.54Wm-2K-1 to -0.62Wm-2K-1 (mean -1.08±0.46 Wm-2K-1). Note the variability given for the CMIP6 ESM estimate is in the very likely interval of 5-95% which is close to two-sigma. Therefore, the 1.65 feedback amplification estimate yields the mean of the feedback interval. Here we have used a feedback amplification factor of 1.65 in row 1 and a global warming temperature rise of 0.9C in the next row. The average Earth's temperature of 14.5C and a Planck Feedback Value of 3.22. This leads to a feedback value in the range of the IPCC Estimate of 1.08 Wm-2K-1.</t>
        </r>
        <r>
          <rPr>
            <sz val="9"/>
            <color indexed="81"/>
            <rFont val="Tahoma"/>
            <family val="2"/>
          </rPr>
          <t xml:space="preserve">
</t>
        </r>
      </text>
    </comment>
  </commentList>
</comments>
</file>

<file path=xl/comments3.xml><?xml version="1.0" encoding="utf-8"?>
<comments xmlns="http://schemas.openxmlformats.org/spreadsheetml/2006/main">
  <authors>
    <author>Alec</author>
    <author>DfRSoft</author>
  </authors>
  <commentList>
    <comment ref="D6" authorId="0">
      <text>
        <r>
          <rPr>
            <b/>
            <sz val="9"/>
            <color indexed="81"/>
            <rFont val="Tahoma"/>
            <family val="2"/>
          </rPr>
          <t>This is the estimated global mean re-radiaton factor up to say 1950.</t>
        </r>
        <r>
          <rPr>
            <sz val="9"/>
            <color indexed="81"/>
            <rFont val="Tahoma"/>
            <family val="2"/>
          </rPr>
          <t xml:space="preserve">
</t>
        </r>
      </text>
    </comment>
    <comment ref="D7" authorId="0">
      <text>
        <r>
          <rPr>
            <b/>
            <sz val="9"/>
            <color indexed="81"/>
            <rFont val="Tahoma"/>
            <family val="2"/>
          </rPr>
          <t>This is the GHG re-radiation factor estimated in 2019</t>
        </r>
        <r>
          <rPr>
            <sz val="9"/>
            <color indexed="81"/>
            <rFont val="Tahoma"/>
            <family val="2"/>
          </rPr>
          <t xml:space="preserve">
</t>
        </r>
      </text>
    </comment>
    <comment ref="D9" authorId="0">
      <text>
        <r>
          <rPr>
            <b/>
            <sz val="9"/>
            <color indexed="81"/>
            <rFont val="Tahoma"/>
            <family val="2"/>
          </rPr>
          <t>This is the estimated feedback factor due to Ice melting albedo decrease and water vapor increase in the atmosphere.</t>
        </r>
        <r>
          <rPr>
            <sz val="9"/>
            <color indexed="81"/>
            <rFont val="Tahoma"/>
            <family val="2"/>
          </rPr>
          <t xml:space="preserve">
</t>
        </r>
      </text>
    </comment>
    <comment ref="D10" authorId="0">
      <text>
        <r>
          <rPr>
            <b/>
            <sz val="9"/>
            <color indexed="81"/>
            <rFont val="Tahoma"/>
            <family val="2"/>
          </rPr>
          <t>Global mean reflectivity of the Earth in 1950.</t>
        </r>
        <r>
          <rPr>
            <sz val="9"/>
            <color indexed="81"/>
            <rFont val="Tahoma"/>
            <family val="2"/>
          </rPr>
          <t xml:space="preserve">
</t>
        </r>
      </text>
    </comment>
    <comment ref="D11" authorId="0">
      <text>
        <r>
          <rPr>
            <b/>
            <sz val="9"/>
            <color indexed="81"/>
            <rFont val="Tahoma"/>
            <family val="2"/>
          </rPr>
          <t>Global mean reflectivity of the Earth in 2019.</t>
        </r>
      </text>
    </comment>
    <comment ref="F53" authorId="1">
      <text>
        <r>
          <rPr>
            <b/>
            <sz val="9"/>
            <color indexed="81"/>
            <rFont val="Tahoma"/>
            <family val="2"/>
          </rPr>
          <t>DfRSoft:
T0 &gt; T  (0-200C)
Let T0=24.7C
T=25C
Then Latent Heat is 2.44E6 J/kg at 24.7C, and the Relative Humidity is 98.2%
If T increases to 60C, then the Relative humidity decreases to 15.3%
A decrease in %RH indicates the warmer 60C air can hold more water vapor</t>
        </r>
        <r>
          <rPr>
            <sz val="9"/>
            <color indexed="81"/>
            <rFont val="Tahoma"/>
            <family val="2"/>
          </rPr>
          <t xml:space="preserve">
</t>
        </r>
      </text>
    </comment>
  </commentList>
</comments>
</file>

<file path=xl/comments4.xml><?xml version="1.0" encoding="utf-8"?>
<comments xmlns="http://schemas.openxmlformats.org/spreadsheetml/2006/main">
  <authors>
    <author>Alec</author>
  </authors>
  <commentList>
    <comment ref="C15" authorId="0">
      <text>
        <r>
          <rPr>
            <b/>
            <sz val="11"/>
            <color indexed="81"/>
            <rFont val="Tahoma"/>
            <family val="2"/>
          </rPr>
          <t xml:space="preserve">Enter in Green Areas, Results in Col. F and G
Example:
Row 1: Amount of Energy Consuption per year (About 189,000TWh)
Row2: % of Energy turns into heat. Not all energy turns into heat. For example buildings store P.E. due to their construction height. Use about 95%, Enter 95
Row 3 Enter amount of Global Warming (GW) in 2023 about 1.05C increase over pre industrial
Row 4 Enter Average Temp of Earth about 15.5C
Row 6 Enter estimate percent of Heat that gets re-radiated back to Earth this is about 62%, Enter 62
Row 7: Enter feedback amplification factor. Feedback a bit more than doubles the forcing, enter 2.15
Row 8: Enter UHI amplificaton factor (see other sheets for details of the paper. Maximum microclimate amplification effect is 3.2 minimum is about 1.2. In dry and humid mixed climate use 2.2.
Row 9: Enter % Energy consumed in UHIs. Studies indicate it is about 70% Enter 70
Read Pecent global warming in area G14. This is </t>
        </r>
        <r>
          <rPr>
            <b/>
            <sz val="9"/>
            <color indexed="81"/>
            <rFont val="Tahoma"/>
            <family val="2"/>
          </rPr>
          <t xml:space="preserve">
</t>
        </r>
      </text>
    </comment>
    <comment ref="C31" authorId="0">
      <text>
        <r>
          <rPr>
            <b/>
            <sz val="11"/>
            <color indexed="81"/>
            <rFont val="Tahoma"/>
            <family val="2"/>
          </rPr>
          <t>Enter in Green Areas, Results in Col. F and G
Example:
Row 1: Enter % of Impermeable Surface Areas on the Earth due to urbanization. Estimates in Ref. 1 is about 0.25% to 0.4%. Enter max 0.4
Row2: Enter fractional irradiance (percent of sunlight) falling on them. For example the land irradiance is 0.47 with clouds taken into acount. ISA may be less due to building shadows, trees etc. Try 0.35%, Enter 0.35
Row 3 Enter average albedo (reflectivity of the ISAs). Todays new black roads are albedo is likely around 0.04 (4% reflective) while old black roads albedo is probably about 0.11 (11% reflective. Cities reflectivity is around 0.12. Try a pesimistic value of 0.07% reflective. Enter 0.07
Row 4 Enter Average solar power per day (340.25W/m2). Enter 340.25
Row 5 Enter estimated temperature rise from pre industrial period (in 2023 it is about 1C. Enter 1
Row 6: Enter average temperature of the Earth (about 15.5C with the 1C rise). Enter 15.5
Row 8: Enter re-radiation amount 62%. Enter 0.62
Row 9: Enter feedback amplification value about 2. Feedback a bit more than doubles the forcing. Enter 2.15
Row 10: Enter UHI amplificaton factor (see other sheets for details of the paper. Maximum microclimate amplification effect is 3.2 minimum is about 1.2. In dry and humid mixed climate use 2.2.
Row 11: Enter percent of ISA in UHIs (including building surfaces). This is about 40-50%., Enter 40 for 40%
Row 12: Enter percent of ISA in rural areas. This is actually larger than in UHIs. Enter 60 for 60%.
Read Pecent global warming in area G26. The total urbanization effect is this sum plus results for the APH release. Read the total in cell G30</t>
        </r>
        <r>
          <rPr>
            <b/>
            <sz val="9"/>
            <color indexed="81"/>
            <rFont val="Tahoma"/>
            <family val="2"/>
          </rPr>
          <t xml:space="preserve">
</t>
        </r>
      </text>
    </comment>
  </commentList>
</comments>
</file>

<file path=xl/sharedStrings.xml><?xml version="1.0" encoding="utf-8"?>
<sst xmlns="http://schemas.openxmlformats.org/spreadsheetml/2006/main" count="463" uniqueCount="294">
  <si>
    <t>Alpha 1950</t>
  </si>
  <si>
    <t>Power</t>
  </si>
  <si>
    <t>1361/4(1-albedo)</t>
  </si>
  <si>
    <t>Power Absorbed</t>
  </si>
  <si>
    <t>Temperature</t>
  </si>
  <si>
    <t>Albedo (K)</t>
  </si>
  <si>
    <t>Re-radiated</t>
  </si>
  <si>
    <t>f1=0.6181</t>
  </si>
  <si>
    <t>(1+f1) Pow Abs</t>
  </si>
  <si>
    <t>Pow Abs</t>
  </si>
  <si>
    <t>W/m^2</t>
  </si>
  <si>
    <t>(K)</t>
  </si>
  <si>
    <t>GHG (W/m^2)</t>
  </si>
  <si>
    <t>(F)</t>
  </si>
  <si>
    <t>So/4</t>
  </si>
  <si>
    <t>Key Deltas</t>
  </si>
  <si>
    <t>Feedback</t>
  </si>
  <si>
    <t>-</t>
  </si>
  <si>
    <t>GHG Power</t>
  </si>
  <si>
    <t xml:space="preserve"> (W/m^2)</t>
  </si>
  <si>
    <t>Surface</t>
  </si>
  <si>
    <t>Temp</t>
  </si>
  <si>
    <t>Year</t>
  </si>
  <si>
    <t>f</t>
  </si>
  <si>
    <t>(C)</t>
  </si>
  <si>
    <t>f2019</t>
  </si>
  <si>
    <t>f1950</t>
  </si>
  <si>
    <t>Alpha 2019</t>
  </si>
  <si>
    <t>ENTER VALUE</t>
  </si>
  <si>
    <t>f 1950</t>
  </si>
  <si>
    <t>f 2019</t>
  </si>
  <si>
    <t>Quantity</t>
  </si>
  <si>
    <t>Re-radiation</t>
  </si>
  <si>
    <t>Solar in</t>
  </si>
  <si>
    <t>Feedback fac.</t>
  </si>
  <si>
    <t>Symbol</t>
  </si>
  <si>
    <t>s</t>
  </si>
  <si>
    <r>
      <rPr>
        <b/>
        <sz val="12"/>
        <color theme="1"/>
        <rFont val="Symbol"/>
        <family val="1"/>
        <charset val="2"/>
      </rPr>
      <t xml:space="preserve">a </t>
    </r>
    <r>
      <rPr>
        <b/>
        <sz val="12"/>
        <color theme="1"/>
        <rFont val="Calibri"/>
        <family val="2"/>
        <scheme val="minor"/>
      </rPr>
      <t>1950</t>
    </r>
  </si>
  <si>
    <r>
      <rPr>
        <b/>
        <sz val="12"/>
        <color theme="1"/>
        <rFont val="Symbol"/>
        <family val="1"/>
        <charset val="2"/>
      </rPr>
      <t>a</t>
    </r>
    <r>
      <rPr>
        <b/>
        <sz val="12"/>
        <color theme="1"/>
        <rFont val="Calibri"/>
        <family val="2"/>
        <scheme val="minor"/>
      </rPr>
      <t xml:space="preserve"> 2019</t>
    </r>
  </si>
  <si>
    <t>Af</t>
  </si>
  <si>
    <t>------------&gt;&gt;&gt;&gt;&gt;&gt;&gt;&gt;&gt;</t>
  </si>
  <si>
    <t>Results from Entrered Values</t>
  </si>
  <si>
    <t>results is provided in Columns F-P</t>
  </si>
  <si>
    <r>
      <rPr>
        <b/>
        <sz val="11"/>
        <color theme="1"/>
        <rFont val="Calibri"/>
        <family val="2"/>
        <scheme val="minor"/>
      </rPr>
      <t xml:space="preserve">Instructons: </t>
    </r>
    <r>
      <rPr>
        <sz val="11"/>
        <color theme="1"/>
        <rFont val="Calibri"/>
        <family val="2"/>
        <scheme val="minor"/>
      </rPr>
      <t>Enter values in Column D green squares</t>
    </r>
  </si>
  <si>
    <t>Enter</t>
  </si>
  <si>
    <t>Surface &amp; Albedo</t>
  </si>
  <si>
    <t>Watts Absorbed</t>
  </si>
  <si>
    <t>Watts/m2</t>
  </si>
  <si>
    <t>Enter Sunlight (W/M2)</t>
  </si>
  <si>
    <t>Surface 1</t>
  </si>
  <si>
    <t>Area 1 (M2)</t>
  </si>
  <si>
    <t>Albedo 1 (Index &lt;1)</t>
  </si>
  <si>
    <t>Surface 2</t>
  </si>
  <si>
    <t>Area 2  (M2)</t>
  </si>
  <si>
    <t>Albedo 2  (Index &lt;1)</t>
  </si>
  <si>
    <t>Default</t>
  </si>
  <si>
    <t xml:space="preserve">   SURFACE TEMP ESTIMATE USING BLACK BODY RADIATION FORMULA</t>
  </si>
  <si>
    <t>Beta</t>
  </si>
  <si>
    <t>AF</t>
  </si>
  <si>
    <t>13.98C</t>
  </si>
  <si>
    <t>57.16F</t>
  </si>
  <si>
    <t>Stef-Boltz Sigma</t>
  </si>
  <si>
    <t>Password: Global</t>
  </si>
  <si>
    <t>Temp Earth</t>
  </si>
  <si>
    <t>Compare Results to 1950 Reference Year</t>
  </si>
  <si>
    <t>Ref: A Re-radiation Model for the Earth’s Energy Budget and the Albedo Advantage in Global Warming Mitigation, A. Feinberg (2021)</t>
  </si>
  <si>
    <t>T1  (Eq. 3)</t>
  </si>
  <si>
    <t>0.188C</t>
  </si>
  <si>
    <r>
      <t xml:space="preserve"> T</t>
    </r>
    <r>
      <rPr>
        <b/>
        <vertAlign val="subscript"/>
        <sz val="14"/>
        <color theme="1"/>
        <rFont val="Calibri"/>
        <family val="2"/>
        <scheme val="minor"/>
      </rPr>
      <t>R (</t>
    </r>
    <r>
      <rPr>
        <b/>
        <sz val="14"/>
        <color theme="1"/>
        <rFont val="Calibri"/>
        <family val="2"/>
        <scheme val="minor"/>
      </rPr>
      <t xml:space="preserve">Eq. 1) </t>
    </r>
  </si>
  <si>
    <t>Results</t>
  </si>
  <si>
    <t>Total Reversal Needed</t>
  </si>
  <si>
    <r>
      <rPr>
        <b/>
        <sz val="14"/>
        <color theme="1"/>
        <rFont val="Symbol"/>
        <family val="1"/>
        <charset val="2"/>
      </rPr>
      <t>D</t>
    </r>
    <r>
      <rPr>
        <b/>
        <sz val="14"/>
        <color theme="1"/>
        <rFont val="Calibri"/>
        <family val="2"/>
        <scheme val="minor"/>
      </rPr>
      <t>P</t>
    </r>
    <r>
      <rPr>
        <b/>
        <vertAlign val="subscript"/>
        <sz val="14"/>
        <color theme="1"/>
        <rFont val="Calibri"/>
        <family val="2"/>
        <scheme val="minor"/>
      </rPr>
      <t>Rev</t>
    </r>
    <r>
      <rPr>
        <b/>
        <sz val="14"/>
        <color theme="1"/>
        <rFont val="Calibri"/>
        <family val="2"/>
        <scheme val="minor"/>
      </rPr>
      <t xml:space="preserve">  in Wm</t>
    </r>
    <r>
      <rPr>
        <b/>
        <vertAlign val="superscript"/>
        <sz val="14"/>
        <color theme="1"/>
        <rFont val="Calibri"/>
        <family val="2"/>
        <scheme val="minor"/>
      </rPr>
      <t>-2</t>
    </r>
    <r>
      <rPr>
        <b/>
        <sz val="14"/>
        <color theme="1"/>
        <rFont val="Calibri"/>
        <family val="2"/>
        <scheme val="minor"/>
      </rPr>
      <t xml:space="preserve"> (Eq. 3)</t>
    </r>
  </si>
  <si>
    <r>
      <t>Avg. Temp. of Earth (</t>
    </r>
    <r>
      <rPr>
        <vertAlign val="superscript"/>
        <sz val="14"/>
        <color theme="1"/>
        <rFont val="Calibri"/>
        <family val="2"/>
        <scheme val="minor"/>
      </rPr>
      <t>o</t>
    </r>
    <r>
      <rPr>
        <sz val="14"/>
        <color theme="1"/>
        <rFont val="Calibri"/>
        <family val="2"/>
        <scheme val="minor"/>
      </rPr>
      <t>C)</t>
    </r>
  </si>
  <si>
    <t>GW Feedback Factor (Eq. 6)</t>
  </si>
  <si>
    <t>Re-radiation factor (Eq. 6)</t>
  </si>
  <si>
    <t>14.5C</t>
  </si>
  <si>
    <t>Parameters</t>
  </si>
  <si>
    <t>Delta Alpha</t>
  </si>
  <si>
    <t>HT</t>
  </si>
  <si>
    <t>Pavement</t>
  </si>
  <si>
    <t>Roofs</t>
  </si>
  <si>
    <t>AT/AE</t>
  </si>
  <si>
    <t>AT (Mi2)</t>
  </si>
  <si>
    <t>Radius (Mi)</t>
  </si>
  <si>
    <t>AT (km2)</t>
  </si>
  <si>
    <t>Radius (km)</t>
  </si>
  <si>
    <t>Dessert</t>
  </si>
  <si>
    <t>Treatment</t>
  </si>
  <si>
    <t>UHIs</t>
  </si>
  <si>
    <t>Earth</t>
  </si>
  <si>
    <t>Mirrors</t>
  </si>
  <si>
    <t>Sea</t>
  </si>
  <si>
    <t>L1 Space</t>
  </si>
  <si>
    <t>Sunshading</t>
  </si>
  <si>
    <t>Stratosphere</t>
  </si>
  <si>
    <t>Injection</t>
  </si>
  <si>
    <t>Xc (irradiance)</t>
  </si>
  <si>
    <t>Xo (outgoing TR)</t>
  </si>
  <si>
    <t>Xs (Space Factor)</t>
  </si>
  <si>
    <r>
      <rPr>
        <b/>
        <sz val="12"/>
        <rFont val="Symbol"/>
        <family val="1"/>
        <charset val="2"/>
      </rPr>
      <t xml:space="preserve"> D</t>
    </r>
    <r>
      <rPr>
        <b/>
        <sz val="12"/>
        <rFont val="Calibri"/>
        <family val="2"/>
      </rPr>
      <t>P</t>
    </r>
    <r>
      <rPr>
        <b/>
        <vertAlign val="subscript"/>
        <sz val="12"/>
        <rFont val="Calibri"/>
        <family val="2"/>
      </rPr>
      <t>ASG</t>
    </r>
    <r>
      <rPr>
        <b/>
        <sz val="12"/>
        <rFont val="Calibri"/>
        <family val="2"/>
      </rPr>
      <t xml:space="preserve">  in Wm</t>
    </r>
    <r>
      <rPr>
        <b/>
        <vertAlign val="superscript"/>
        <sz val="12"/>
        <rFont val="Calibri"/>
        <family val="2"/>
      </rPr>
      <t xml:space="preserve">-2 </t>
    </r>
  </si>
  <si>
    <t xml:space="preserve">Suggested </t>
  </si>
  <si>
    <t>Instruction: Enter values in green squares</t>
  </si>
  <si>
    <t>Target ASG Reverse</t>
  </si>
  <si>
    <t>Equation 6</t>
  </si>
  <si>
    <r>
      <t>I</t>
    </r>
    <r>
      <rPr>
        <b/>
        <vertAlign val="subscript"/>
        <sz val="14"/>
        <color theme="1"/>
        <rFont val="Calibri"/>
        <family val="2"/>
        <scheme val="minor"/>
      </rPr>
      <t>SO2</t>
    </r>
    <r>
      <rPr>
        <b/>
        <sz val="14"/>
        <color theme="1"/>
        <rFont val="Calibri"/>
        <family val="2"/>
        <scheme val="minor"/>
      </rPr>
      <t>(Mt[SO2]/Yr.)</t>
    </r>
  </si>
  <si>
    <t>Equation 14</t>
  </si>
  <si>
    <t>Temperature GW Increase</t>
  </si>
  <si>
    <t>Average Earth Temp</t>
  </si>
  <si>
    <t>Total Increase</t>
  </si>
  <si>
    <r>
      <rPr>
        <b/>
        <sz val="14"/>
        <color theme="1"/>
        <rFont val="Symbol"/>
        <family val="1"/>
        <charset val="2"/>
      </rPr>
      <t>D</t>
    </r>
    <r>
      <rPr>
        <b/>
        <sz val="14"/>
        <color theme="1"/>
        <rFont val="Calibri"/>
        <family val="2"/>
        <scheme val="minor"/>
      </rPr>
      <t>P</t>
    </r>
    <r>
      <rPr>
        <b/>
        <sz val="14"/>
        <color theme="1"/>
        <rFont val="Calibri"/>
        <family val="2"/>
        <scheme val="minor"/>
      </rPr>
      <t xml:space="preserve">  in Wm</t>
    </r>
    <r>
      <rPr>
        <b/>
        <vertAlign val="superscript"/>
        <sz val="14"/>
        <color theme="1"/>
        <rFont val="Calibri"/>
        <family val="2"/>
        <scheme val="minor"/>
      </rPr>
      <t>-2</t>
    </r>
    <r>
      <rPr>
        <b/>
        <sz val="14"/>
        <color theme="1"/>
        <rFont val="Calibri"/>
        <family val="2"/>
        <scheme val="minor"/>
      </rPr>
      <t xml:space="preserve"> (Eq. 3)</t>
    </r>
  </si>
  <si>
    <t xml:space="preserve">Planck Feedback Value </t>
  </si>
  <si>
    <t>Appendix D</t>
  </si>
  <si>
    <t>Units</t>
  </si>
  <si>
    <r>
      <rPr>
        <b/>
        <vertAlign val="superscript"/>
        <sz val="14"/>
        <color theme="1"/>
        <rFont val="Calibri"/>
        <family val="2"/>
        <scheme val="minor"/>
      </rPr>
      <t>o</t>
    </r>
    <r>
      <rPr>
        <b/>
        <sz val="14"/>
        <color theme="1"/>
        <rFont val="Calibri"/>
        <family val="2"/>
        <scheme val="minor"/>
      </rPr>
      <t>C</t>
    </r>
  </si>
  <si>
    <t>Conversion: Feedback Amplification to Feedback Units</t>
  </si>
  <si>
    <r>
      <t>Feedback Amplification A</t>
    </r>
    <r>
      <rPr>
        <vertAlign val="subscript"/>
        <sz val="14"/>
        <color theme="1"/>
        <rFont val="Calibri"/>
        <family val="2"/>
        <scheme val="minor"/>
      </rPr>
      <t>F</t>
    </r>
  </si>
  <si>
    <t>0.95C</t>
  </si>
  <si>
    <r>
      <t>Feedback in Wm</t>
    </r>
    <r>
      <rPr>
        <b/>
        <vertAlign val="superscript"/>
        <sz val="14"/>
        <color theme="0"/>
        <rFont val="Calibri"/>
        <family val="2"/>
      </rPr>
      <t>-2</t>
    </r>
    <r>
      <rPr>
        <b/>
        <sz val="14"/>
        <color theme="0"/>
        <rFont val="Calibri"/>
        <family val="2"/>
      </rPr>
      <t>K</t>
    </r>
    <r>
      <rPr>
        <b/>
        <vertAlign val="superscript"/>
        <sz val="14"/>
        <color theme="0"/>
        <rFont val="Calibri"/>
        <family val="2"/>
      </rPr>
      <t>-1</t>
    </r>
  </si>
  <si>
    <t>Target Reverse Forcing Target Goal Requirement</t>
  </si>
  <si>
    <r>
      <t>A</t>
    </r>
    <r>
      <rPr>
        <b/>
        <vertAlign val="subscript"/>
        <sz val="14"/>
        <color theme="1"/>
        <rFont val="Calibri"/>
        <family val="2"/>
        <scheme val="minor"/>
      </rPr>
      <t>F</t>
    </r>
  </si>
  <si>
    <r>
      <t>Yearly Reversal Temp.  Goal (</t>
    </r>
    <r>
      <rPr>
        <vertAlign val="superscript"/>
        <sz val="14"/>
        <color theme="1"/>
        <rFont val="Calibri"/>
        <family val="2"/>
        <scheme val="minor"/>
      </rPr>
      <t>o</t>
    </r>
    <r>
      <rPr>
        <sz val="14"/>
        <color theme="1"/>
        <rFont val="Calibri"/>
        <family val="2"/>
        <scheme val="minor"/>
      </rPr>
      <t>C)</t>
    </r>
  </si>
  <si>
    <r>
      <t>Total Reversal Temp.  Goal (</t>
    </r>
    <r>
      <rPr>
        <vertAlign val="superscript"/>
        <sz val="14"/>
        <color theme="1"/>
        <rFont val="Calibri"/>
        <family val="2"/>
        <scheme val="minor"/>
      </rPr>
      <t>o</t>
    </r>
    <r>
      <rPr>
        <sz val="14"/>
        <color theme="1"/>
        <rFont val="Calibri"/>
        <family val="2"/>
        <scheme val="minor"/>
      </rPr>
      <t>C)</t>
    </r>
  </si>
  <si>
    <t>1 C</t>
  </si>
  <si>
    <t>Annual Reversal Needed</t>
  </si>
  <si>
    <t>Annual Solar Geoengineering</t>
  </si>
  <si>
    <t>Total Solar Geoengineering</t>
  </si>
  <si>
    <t>Target  Reverse</t>
  </si>
  <si>
    <t xml:space="preserve"> ASG Forcing Required  </t>
  </si>
  <si>
    <r>
      <rPr>
        <b/>
        <sz val="14"/>
        <color theme="0"/>
        <rFont val="Symbol"/>
        <family val="1"/>
        <charset val="2"/>
      </rPr>
      <t xml:space="preserve"> D</t>
    </r>
    <r>
      <rPr>
        <b/>
        <sz val="14"/>
        <color theme="0"/>
        <rFont val="Calibri"/>
        <family val="2"/>
      </rPr>
      <t>P</t>
    </r>
    <r>
      <rPr>
        <b/>
        <vertAlign val="subscript"/>
        <sz val="14"/>
        <color theme="0"/>
        <rFont val="Calibri"/>
        <family val="2"/>
      </rPr>
      <t>ASG</t>
    </r>
    <r>
      <rPr>
        <b/>
        <sz val="14"/>
        <color theme="0"/>
        <rFont val="Calibri"/>
        <family val="2"/>
      </rPr>
      <t xml:space="preserve">  in Wm</t>
    </r>
    <r>
      <rPr>
        <b/>
        <vertAlign val="superscript"/>
        <sz val="14"/>
        <color theme="0"/>
        <rFont val="Calibri"/>
        <family val="2"/>
      </rPr>
      <t xml:space="preserve">-2  </t>
    </r>
    <r>
      <rPr>
        <b/>
        <sz val="14"/>
        <color theme="0"/>
        <rFont val="Calibri"/>
        <family val="2"/>
      </rPr>
      <t>(Eq. 6)</t>
    </r>
  </si>
  <si>
    <r>
      <rPr>
        <b/>
        <sz val="14"/>
        <color theme="0"/>
        <rFont val="Symbol"/>
        <family val="1"/>
        <charset val="2"/>
      </rPr>
      <t>D</t>
    </r>
    <r>
      <rPr>
        <b/>
        <sz val="14"/>
        <color theme="0"/>
        <rFont val="Calibri"/>
        <family val="2"/>
      </rPr>
      <t>P</t>
    </r>
    <r>
      <rPr>
        <b/>
        <vertAlign val="subscript"/>
        <sz val="14"/>
        <color theme="0"/>
        <rFont val="Calibri"/>
        <family val="2"/>
      </rPr>
      <t>T</t>
    </r>
    <r>
      <rPr>
        <b/>
        <sz val="14"/>
        <color theme="0"/>
        <rFont val="Calibri"/>
        <family val="2"/>
      </rPr>
      <t xml:space="preserve">  =</t>
    </r>
    <r>
      <rPr>
        <b/>
        <sz val="14"/>
        <color theme="0"/>
        <rFont val="Symbol"/>
        <family val="1"/>
        <charset val="2"/>
      </rPr>
      <t xml:space="preserve"> </t>
    </r>
    <r>
      <rPr>
        <b/>
        <sz val="14"/>
        <color theme="0"/>
        <rFont val="Calibri"/>
        <family val="2"/>
      </rPr>
      <t xml:space="preserve">  in Wm</t>
    </r>
    <r>
      <rPr>
        <b/>
        <vertAlign val="superscript"/>
        <sz val="14"/>
        <color theme="0"/>
        <rFont val="Calibri"/>
        <family val="2"/>
      </rPr>
      <t xml:space="preserve">-2  </t>
    </r>
    <r>
      <rPr>
        <b/>
        <sz val="14"/>
        <color theme="0"/>
        <rFont val="Calibri"/>
        <family val="2"/>
      </rPr>
      <t>(Eq. 5)</t>
    </r>
  </si>
  <si>
    <t xml:space="preserve">             Global Warming Solar Geoengineering Physics Calculators</t>
  </si>
  <si>
    <t xml:space="preserve">Feinberg A (2021) A Re-Radiation Model for the Earth’s Energy Budget and the Albedo Advantage in Global Warming Mitigation, Dynamics of Atmospheres and Oceans, https://doi.org/10.1016/j.dynatmoce.2021.101267 </t>
  </si>
  <si>
    <t>Reference for this calculator</t>
  </si>
  <si>
    <t>Work Area</t>
  </si>
  <si>
    <t>Temperature T2</t>
  </si>
  <si>
    <t>Temperature T1</t>
  </si>
  <si>
    <t>CC Amplification Factor</t>
  </si>
  <si>
    <r>
      <t>A</t>
    </r>
    <r>
      <rPr>
        <b/>
        <vertAlign val="subscript"/>
        <sz val="14"/>
        <color theme="1"/>
        <rFont val="Arial"/>
        <family val="2"/>
      </rPr>
      <t>F</t>
    </r>
  </si>
  <si>
    <r>
      <t>Clausius-Clapeyron Relation for A</t>
    </r>
    <r>
      <rPr>
        <b/>
        <vertAlign val="subscript"/>
        <sz val="14"/>
        <color theme="0"/>
        <rFont val="Calibri"/>
        <family val="2"/>
        <scheme val="minor"/>
      </rPr>
      <t>F</t>
    </r>
  </si>
  <si>
    <t>T1 Hotspot</t>
  </si>
  <si>
    <t>T2&gt;T1 (cooled)</t>
  </si>
  <si>
    <t>AF is the feedback factor which for water vapor is roughly the anticipated amount of humidity reduction from the CC relation when cooling a hotspot</t>
  </si>
  <si>
    <t>Full Mitigation</t>
  </si>
  <si>
    <r>
      <rPr>
        <b/>
        <sz val="10"/>
        <rFont val="Symbol"/>
        <family val="1"/>
        <charset val="2"/>
      </rPr>
      <t>D</t>
    </r>
    <r>
      <rPr>
        <b/>
        <sz val="10"/>
        <rFont val="Arial"/>
        <family val="2"/>
      </rPr>
      <t>P Full Mitigation</t>
    </r>
  </si>
  <si>
    <t>Appendix A (Eq, A-2)</t>
  </si>
  <si>
    <t>Table 4 (Eq. 7):  ASG SRM areas required every year</t>
  </si>
  <si>
    <t>Solar geoengineering calculator for the paper: Annual Solar Geoengineering: Mitigating Yearly Global Warming Increases</t>
  </si>
  <si>
    <r>
      <rPr>
        <sz val="14"/>
        <color theme="1"/>
        <rFont val="Symbol"/>
        <family val="1"/>
        <charset val="2"/>
      </rPr>
      <t>D</t>
    </r>
    <r>
      <rPr>
        <sz val="14"/>
        <color theme="1"/>
        <rFont val="Calibri"/>
        <family val="2"/>
        <scheme val="minor"/>
      </rPr>
      <t>R</t>
    </r>
    <r>
      <rPr>
        <vertAlign val="subscript"/>
        <sz val="14"/>
        <color theme="1"/>
        <rFont val="Calibri"/>
        <family val="2"/>
        <scheme val="minor"/>
      </rPr>
      <t>TOA</t>
    </r>
  </si>
  <si>
    <r>
      <t>I</t>
    </r>
    <r>
      <rPr>
        <b/>
        <vertAlign val="subscript"/>
        <sz val="14"/>
        <color theme="1"/>
        <rFont val="Calibri"/>
        <family val="2"/>
        <scheme val="minor"/>
      </rPr>
      <t>SO2</t>
    </r>
  </si>
  <si>
    <t>Ref: Niemeier and Timmreck [13]</t>
  </si>
  <si>
    <t>0.0293, 1.47</t>
  </si>
  <si>
    <r>
      <t>SO</t>
    </r>
    <r>
      <rPr>
        <b/>
        <vertAlign val="subscript"/>
        <sz val="14"/>
        <color theme="0"/>
        <rFont val="Calibri"/>
        <family val="2"/>
        <scheme val="minor"/>
      </rPr>
      <t>2</t>
    </r>
    <r>
      <rPr>
        <b/>
        <sz val="14"/>
        <color theme="0"/>
        <rFont val="Calibri"/>
        <family val="2"/>
        <scheme val="minor"/>
      </rPr>
      <t xml:space="preserve"> injection requirement for SRM</t>
    </r>
  </si>
  <si>
    <r>
      <t>Injection rate in Mt[SO</t>
    </r>
    <r>
      <rPr>
        <b/>
        <vertAlign val="subscript"/>
        <sz val="14"/>
        <color theme="0"/>
        <rFont val="Calibri"/>
        <family val="2"/>
      </rPr>
      <t>2</t>
    </r>
    <r>
      <rPr>
        <b/>
        <sz val="14"/>
        <color theme="0"/>
        <rFont val="Calibri"/>
        <family val="2"/>
      </rPr>
      <t>]/Yr</t>
    </r>
  </si>
  <si>
    <r>
      <t>Wm</t>
    </r>
    <r>
      <rPr>
        <b/>
        <vertAlign val="superscript"/>
        <sz val="14"/>
        <color theme="1"/>
        <rFont val="Calibri"/>
        <family val="2"/>
        <scheme val="minor"/>
      </rPr>
      <t>-2</t>
    </r>
  </si>
  <si>
    <r>
      <t>Wm</t>
    </r>
    <r>
      <rPr>
        <vertAlign val="superscript"/>
        <sz val="12"/>
        <color theme="1"/>
        <rFont val="Calibri"/>
        <family val="2"/>
        <scheme val="minor"/>
      </rPr>
      <t>-2</t>
    </r>
    <r>
      <rPr>
        <sz val="12"/>
        <color theme="1"/>
        <rFont val="Calibri"/>
        <family val="2"/>
        <scheme val="minor"/>
      </rPr>
      <t>K</t>
    </r>
    <r>
      <rPr>
        <vertAlign val="superscript"/>
        <sz val="12"/>
        <color theme="1"/>
        <rFont val="Calibri"/>
        <family val="2"/>
        <scheme val="minor"/>
      </rPr>
      <t>-1</t>
    </r>
  </si>
  <si>
    <t>(So/4)</t>
  </si>
  <si>
    <t>Average Suns Energy  (W/m2)</t>
  </si>
  <si>
    <r>
      <t>A</t>
    </r>
    <r>
      <rPr>
        <b/>
        <vertAlign val="subscript"/>
        <sz val="14"/>
        <color theme="1"/>
        <rFont val="Calibri"/>
        <family val="2"/>
        <scheme val="minor"/>
      </rPr>
      <t>Loc Area</t>
    </r>
  </si>
  <si>
    <r>
      <t>A</t>
    </r>
    <r>
      <rPr>
        <b/>
        <vertAlign val="subscript"/>
        <sz val="14"/>
        <color theme="1"/>
        <rFont val="Calibri"/>
        <family val="2"/>
        <scheme val="minor"/>
      </rPr>
      <t>T</t>
    </r>
  </si>
  <si>
    <t>Albedo Target</t>
  </si>
  <si>
    <t>Irradiance</t>
  </si>
  <si>
    <r>
      <t>X</t>
    </r>
    <r>
      <rPr>
        <b/>
        <vertAlign val="subscript"/>
        <sz val="14"/>
        <color theme="1"/>
        <rFont val="Calibri"/>
        <family val="2"/>
        <scheme val="minor"/>
      </rPr>
      <t>C</t>
    </r>
  </si>
  <si>
    <r>
      <rPr>
        <b/>
        <sz val="14"/>
        <color theme="1"/>
        <rFont val="Symbol"/>
        <family val="1"/>
        <charset val="2"/>
      </rPr>
      <t>a</t>
    </r>
    <r>
      <rPr>
        <b/>
        <vertAlign val="subscript"/>
        <sz val="14"/>
        <color theme="1"/>
        <rFont val="Calibri"/>
        <family val="2"/>
        <scheme val="minor"/>
      </rPr>
      <t>Meer</t>
    </r>
  </si>
  <si>
    <r>
      <t>a</t>
    </r>
    <r>
      <rPr>
        <b/>
        <vertAlign val="subscript"/>
        <sz val="14"/>
        <color theme="1"/>
        <rFont val="Symbol"/>
        <family val="1"/>
        <charset val="2"/>
      </rPr>
      <t>T</t>
    </r>
  </si>
  <si>
    <t>MEER Solar Geoengineering</t>
  </si>
  <si>
    <t>T1</t>
  </si>
  <si>
    <t>Local Reversal</t>
  </si>
  <si>
    <t>Global Reversal</t>
  </si>
  <si>
    <r>
      <rPr>
        <b/>
        <sz val="14"/>
        <color theme="1"/>
        <rFont val="Symbol"/>
        <family val="1"/>
        <charset val="2"/>
      </rPr>
      <t>D</t>
    </r>
    <r>
      <rPr>
        <b/>
        <sz val="14"/>
        <color theme="1"/>
        <rFont val="Calibri"/>
        <family val="2"/>
        <scheme val="minor"/>
      </rPr>
      <t>P</t>
    </r>
    <r>
      <rPr>
        <b/>
        <vertAlign val="subscript"/>
        <sz val="14"/>
        <color theme="1"/>
        <rFont val="Calibri"/>
        <family val="2"/>
        <scheme val="minor"/>
      </rPr>
      <t>Rev</t>
    </r>
    <r>
      <rPr>
        <b/>
        <sz val="14"/>
        <color theme="1"/>
        <rFont val="Calibri"/>
        <family val="2"/>
        <scheme val="minor"/>
      </rPr>
      <t xml:space="preserve">  in Wm</t>
    </r>
    <r>
      <rPr>
        <b/>
        <vertAlign val="superscript"/>
        <sz val="14"/>
        <color theme="1"/>
        <rFont val="Calibri"/>
        <family val="2"/>
        <scheme val="minor"/>
      </rPr>
      <t>-2</t>
    </r>
    <r>
      <rPr>
        <b/>
        <sz val="14"/>
        <color theme="1"/>
        <rFont val="Calibri"/>
        <family val="2"/>
        <scheme val="minor"/>
      </rPr>
      <t xml:space="preserve"> </t>
    </r>
  </si>
  <si>
    <t>Albedo MEER</t>
  </si>
  <si>
    <t>Target Reverse Forcing</t>
  </si>
  <si>
    <r>
      <rPr>
        <b/>
        <sz val="14"/>
        <color theme="0"/>
        <rFont val="Symbol"/>
        <family val="1"/>
        <charset val="2"/>
      </rPr>
      <t>D</t>
    </r>
    <r>
      <rPr>
        <b/>
        <sz val="14"/>
        <color theme="0"/>
        <rFont val="Calibri"/>
        <family val="2"/>
      </rPr>
      <t>PRev  in Wm</t>
    </r>
    <r>
      <rPr>
        <b/>
        <vertAlign val="superscript"/>
        <sz val="14"/>
        <color theme="0"/>
        <rFont val="Calibri"/>
        <family val="2"/>
      </rPr>
      <t>-2</t>
    </r>
    <r>
      <rPr>
        <b/>
        <sz val="14"/>
        <color theme="0"/>
        <rFont val="Calibri"/>
        <family val="2"/>
      </rPr>
      <t xml:space="preserve"> </t>
    </r>
  </si>
  <si>
    <r>
      <t xml:space="preserve"> </t>
    </r>
    <r>
      <rPr>
        <b/>
        <sz val="16"/>
        <color theme="0"/>
        <rFont val="Symbol"/>
        <family val="1"/>
        <charset val="2"/>
      </rPr>
      <t>D</t>
    </r>
    <r>
      <rPr>
        <b/>
        <sz val="16"/>
        <color theme="0"/>
        <rFont val="Calibri"/>
        <family val="2"/>
        <scheme val="minor"/>
      </rPr>
      <t>T(oC)</t>
    </r>
  </si>
  <si>
    <t>Local Reversal Check</t>
  </si>
  <si>
    <r>
      <t xml:space="preserve"> </t>
    </r>
    <r>
      <rPr>
        <b/>
        <sz val="16"/>
        <color theme="0"/>
        <rFont val="Symbol"/>
        <family val="1"/>
        <charset val="2"/>
      </rPr>
      <t>D</t>
    </r>
    <r>
      <rPr>
        <b/>
        <sz val="16"/>
        <color theme="0"/>
        <rFont val="Calibri"/>
        <family val="2"/>
        <scheme val="minor"/>
      </rPr>
      <t>T(oC)  Global</t>
    </r>
  </si>
  <si>
    <t>Helpful Values</t>
  </si>
  <si>
    <t>Asphalt Albedo (New)</t>
  </si>
  <si>
    <t>Concrete Albedo (New)</t>
  </si>
  <si>
    <t>0.4-0.6</t>
  </si>
  <si>
    <t>Concrete Albedo (Old)</t>
  </si>
  <si>
    <t>Asphalt Albedo (Old)</t>
  </si>
  <si>
    <t>0.04-0.06</t>
  </si>
  <si>
    <t>0.09-0.18</t>
  </si>
  <si>
    <t>Area of Earth (km2)</t>
  </si>
  <si>
    <r>
      <t xml:space="preserve"> </t>
    </r>
    <r>
      <rPr>
        <b/>
        <sz val="16"/>
        <color theme="0"/>
        <rFont val="Symbol"/>
        <family val="1"/>
        <charset val="2"/>
      </rPr>
      <t>D</t>
    </r>
    <r>
      <rPr>
        <b/>
        <sz val="16"/>
        <color theme="0"/>
        <rFont val="Calibri"/>
        <family val="2"/>
        <scheme val="minor"/>
      </rPr>
      <t>T(oF)</t>
    </r>
  </si>
  <si>
    <t>Enter Surface to Air Percent</t>
  </si>
  <si>
    <t>Creator: DfRSoft Research, Alec Feinberg</t>
  </si>
  <si>
    <t>City Target Area (km2)</t>
  </si>
  <si>
    <t>City Area (km2)</t>
  </si>
  <si>
    <r>
      <t>Average Tempperature of the Area (</t>
    </r>
    <r>
      <rPr>
        <vertAlign val="superscript"/>
        <sz val="14"/>
        <color theme="1"/>
        <rFont val="Calibri"/>
        <family val="2"/>
        <scheme val="minor"/>
      </rPr>
      <t>o</t>
    </r>
    <r>
      <rPr>
        <sz val="14"/>
        <color theme="1"/>
        <rFont val="Calibri"/>
        <family val="2"/>
        <scheme val="minor"/>
      </rPr>
      <t>C)</t>
    </r>
  </si>
  <si>
    <t>25% Large UHIs</t>
  </si>
  <si>
    <t>Suggested Values</t>
  </si>
  <si>
    <t>Comment</t>
  </si>
  <si>
    <t>Instructions</t>
  </si>
  <si>
    <t>Asphalt 0.5 to 0.12</t>
  </si>
  <si>
    <t>Your City Heat Calculator</t>
  </si>
  <si>
    <t>Surface Temp. Change</t>
  </si>
  <si>
    <t>Possible Air Temp. Change</t>
  </si>
  <si>
    <t>Local UHI Heat Amplification</t>
  </si>
  <si>
    <t>Calculator Verification Demonstration Compared to MIT Study</t>
  </si>
  <si>
    <t>MIT Study for 20% Albedo Increase Roads like LA</t>
  </si>
  <si>
    <t>MIT Study: https://cshub.mit.edu/sites/default/files/images/Albedo%201113_0.pdf</t>
  </si>
  <si>
    <t>Reference 1:  Feinberg A (2023) Annual Solar Geoengineering: Mitigating Yearly Global Warming Increases, Climate 12, no. 2: 26. https://doi.org/10.3390/cli12020026</t>
  </si>
  <si>
    <t>Reference 2: Feinberg A 2023. "Urbanization Heat Flux Modeling Confirms It Is a Likely Cause of Significant Global Warming: Urbanization Mitigation Requirements" Land 12, no. 6: 1222. https://doi.org/10.3390/land12061222</t>
  </si>
  <si>
    <t>Albedo</t>
  </si>
  <si>
    <t>a</t>
  </si>
  <si>
    <t>Author: DfRSoft Research: Alec Feinberg</t>
  </si>
  <si>
    <t>Calculator 1</t>
  </si>
  <si>
    <t>This calculator will tell you the surface and expected air temperature change when making a substantial area of a city brighter from say cool roads and roofs</t>
  </si>
  <si>
    <t>Calculator 2</t>
  </si>
  <si>
    <t>This calculator goes with the paper Feinberg A (2023) Annual Solar Geoengineering: Mitigating Yearly Global Warming Increases, Climate 12, no. 2: 26. https://doi.org/10.3390/cli12020026</t>
  </si>
  <si>
    <t>The calculator is able to reproduce an UHI MIT study which indicated that cool roads in LA would reduce the air temperatures by about 2.5F. Instructions are provided. The MIT verification is on the UHI Reflec worksheet in Area B28 to B50</t>
  </si>
  <si>
    <t>Calculator 3</t>
  </si>
  <si>
    <t>UHI Reflective Cities (How cool can we make your city?)</t>
  </si>
  <si>
    <t>Annual Solar Geoengineering Calculator (What area and reflectivity do we need to stop annual global warming?)</t>
  </si>
  <si>
    <t>(What is the change from 1950 to current day due to GHGs and Earth albedo change??)</t>
  </si>
  <si>
    <t>Calculators based on peer reviewed research of Dr. Feinberg</t>
  </si>
  <si>
    <t xml:space="preserve">Reference 3: Feinberg A (2021) A Re-Radiation Model for the Earth’s Energy Budget and the Albedo Advantage in Global Warming Mitigation, Dynamics of Atmospheres and Oceans, https://doi.org/10.1016/j.dynatmoce.2021.101267 </t>
  </si>
  <si>
    <t>Heat Amplification Very Humid Cities</t>
  </si>
  <si>
    <r>
      <t>H</t>
    </r>
    <r>
      <rPr>
        <b/>
        <vertAlign val="subscript"/>
        <sz val="14"/>
        <color theme="1"/>
        <rFont val="Calibri"/>
        <family val="2"/>
        <scheme val="minor"/>
      </rPr>
      <t>T</t>
    </r>
  </si>
  <si>
    <t>Heat Amplification Humid Cities</t>
  </si>
  <si>
    <t>Heat Amplification Dry Cities</t>
  </si>
  <si>
    <t>Heat Amplification Mixed Dry and Humid Cities</t>
  </si>
  <si>
    <r>
      <t xml:space="preserve"> </t>
    </r>
    <r>
      <rPr>
        <sz val="18"/>
        <color theme="0"/>
        <rFont val="Symbol"/>
        <family val="1"/>
        <charset val="2"/>
      </rPr>
      <t>D</t>
    </r>
    <r>
      <rPr>
        <sz val="18"/>
        <color theme="0"/>
        <rFont val="Calibri"/>
        <family val="2"/>
        <scheme val="minor"/>
      </rPr>
      <t>T(</t>
    </r>
    <r>
      <rPr>
        <vertAlign val="superscript"/>
        <sz val="18"/>
        <color theme="0"/>
        <rFont val="Calibri"/>
        <family val="2"/>
        <scheme val="minor"/>
      </rPr>
      <t>o</t>
    </r>
    <r>
      <rPr>
        <sz val="18"/>
        <color theme="0"/>
        <rFont val="Calibri"/>
        <family val="2"/>
        <scheme val="minor"/>
      </rPr>
      <t>C) Possible Air Temp. Change</t>
    </r>
  </si>
  <si>
    <r>
      <t xml:space="preserve"> </t>
    </r>
    <r>
      <rPr>
        <sz val="18"/>
        <color theme="0"/>
        <rFont val="Symbol"/>
        <family val="1"/>
        <charset val="2"/>
      </rPr>
      <t>D</t>
    </r>
    <r>
      <rPr>
        <sz val="18"/>
        <color theme="0"/>
        <rFont val="Calibri"/>
        <family val="2"/>
        <scheme val="minor"/>
      </rPr>
      <t>T(</t>
    </r>
    <r>
      <rPr>
        <vertAlign val="superscript"/>
        <sz val="18"/>
        <color theme="0"/>
        <rFont val="Calibri"/>
        <family val="2"/>
        <scheme val="minor"/>
      </rPr>
      <t>o</t>
    </r>
    <r>
      <rPr>
        <sz val="18"/>
        <color theme="0"/>
        <rFont val="Calibri"/>
        <family val="2"/>
        <scheme val="minor"/>
      </rPr>
      <t>F) Possible Air Temp. Change</t>
    </r>
  </si>
  <si>
    <t>Annual Rate of Global Warming about 0.019C/Year up to 2022</t>
  </si>
  <si>
    <t>Annual Rate of Global Warming Increased to 0.035C/Year up to 2023</t>
  </si>
  <si>
    <t xml:space="preserve">It tells the user how much area is required for increasing the reflectivity by the entered amount for Earth brightening, L1 Space Sunshading and SAI. In Section 1 of this calculator, the user </t>
  </si>
  <si>
    <t>Your UHI Calculator &amp; MIT Verification</t>
  </si>
  <si>
    <t>GWh Global Warming Saving Per Year</t>
  </si>
  <si>
    <t>Energy Consumption Per Year (TWh)</t>
  </si>
  <si>
    <t>Suggestion</t>
  </si>
  <si>
    <t>90-95%</t>
  </si>
  <si>
    <t>Amount of GW (oC)</t>
  </si>
  <si>
    <t>Average Temp of Earth</t>
  </si>
  <si>
    <t>AHR % GW Baseline</t>
  </si>
  <si>
    <t>Reradiation Factor</t>
  </si>
  <si>
    <t>Feedback Amplification Factor</t>
  </si>
  <si>
    <t>AHR % GW With Background Climate</t>
  </si>
  <si>
    <t>UHI HT Factor</t>
  </si>
  <si>
    <t>% Energy Turns into Heat</t>
  </si>
  <si>
    <t>Background Climates Estimates</t>
  </si>
  <si>
    <t>% Energy Consumed in UHIs</t>
  </si>
  <si>
    <t>APH Watts Disipated/Year</t>
  </si>
  <si>
    <t>Amount of GW W/M2</t>
  </si>
  <si>
    <t>How Much Global Warming Occurs from Anthropogenic Heat Release (APH) Per Year?</t>
  </si>
  <si>
    <t>ENTER</t>
  </si>
  <si>
    <t>Description</t>
  </si>
  <si>
    <t>Global Warming Due to Urbanization Heat Flux</t>
  </si>
  <si>
    <t xml:space="preserve">% Impermeable Surface Area of Earth </t>
  </si>
  <si>
    <t>1.2C</t>
  </si>
  <si>
    <t>182,830TWh/Yr by 2024</t>
  </si>
  <si>
    <t>Percent of ISA in UHIs</t>
  </si>
  <si>
    <t>Percent of ISA in Rural Areas</t>
  </si>
  <si>
    <t>Average Temperature of the Earth</t>
  </si>
  <si>
    <t>Average Albedo of ISA</t>
  </si>
  <si>
    <t>Rough Estimate of How Much Global Warming Occurs from Unshaded Impermeable Surfaces (ISA)?</t>
  </si>
  <si>
    <t>14.4C</t>
  </si>
  <si>
    <t>340W/m2 In 24 Hours</t>
  </si>
  <si>
    <t>Baseline W/M2 (Rural ISA)</t>
  </si>
  <si>
    <t>Baseline GW W/M2 (UHIs)</t>
  </si>
  <si>
    <t>Results with Back Ground Climate</t>
  </si>
  <si>
    <t>Rural GW% with Background Climate</t>
  </si>
  <si>
    <t>Total GW% from ISA (Rural and UHIs)</t>
  </si>
  <si>
    <t>Fractional Irradiance on ISA</t>
  </si>
  <si>
    <t>Average Suns Energy  (W/m2/Day)</t>
  </si>
  <si>
    <t>Calculator 4</t>
  </si>
  <si>
    <t>Amount of GW Temp Rise (oC)</t>
  </si>
  <si>
    <t>APH W/M2 (Over the Earth)</t>
  </si>
  <si>
    <t>1.2-3.2</t>
  </si>
  <si>
    <t>0.25%-0.4%</t>
  </si>
  <si>
    <t>Total %GW from AHR and Solar Heating of ISAs</t>
  </si>
  <si>
    <t>Reference : Feinberg A 2023. "Urbanization Heat Flux Modeling Confirms It Is a Likely Cause of Significant Global Warming: Urbanization Mitigation Requirements" Land 12, no. 6: 1222. https://doi.org/10.3390/land12061222</t>
  </si>
  <si>
    <t>How much Global Warming is due to energy consumption like home heating? How much is due to solar heating of Impermeable Surface Areas</t>
  </si>
  <si>
    <t xml:space="preserve">This calculator goes with Ref. 2. It provides a watered down version of the estimates in Ref. 2 of the urbanization heat flux effect on global warming. Due to the controversy, </t>
  </si>
  <si>
    <t>For:</t>
  </si>
  <si>
    <t>1) Solar Geoengineering of UHIs</t>
  </si>
  <si>
    <t>2) Annual Solar Geoengineering to Stop Yearly Global Warming Increases</t>
  </si>
  <si>
    <t>can provide a goal such as stopping annual global warming of 0.02C each year. Then depending on the SG mitigation method, the calculator will provide the area required</t>
  </si>
  <si>
    <t>Global Mean Earth Energy Budget Global Warming Calculator for Two Different Time Periods</t>
  </si>
  <si>
    <t>This calculator goes with Ref. 3.</t>
  </si>
  <si>
    <t>the results for 2019 are provided and one can compare the global warming temperature rise due to the inputs for 1950 and 2019.</t>
  </si>
  <si>
    <t>3) Global Warming Mean Earth Energy Budget (two different time periods)</t>
  </si>
  <si>
    <t>4) Urbanization Global Warming Effect of ISA and APH release</t>
  </si>
  <si>
    <t xml:space="preserve">Information: This calculator is a watered down version of the reference below. However, it helps one provide some estimates for the urbanization effect using physics based models </t>
  </si>
  <si>
    <t>it should be very helpful for Climatologists who do not understand the urbanization microclimate and background effects so that one can note that the effects area non-trivial.</t>
  </si>
  <si>
    <t>WELCOME TO THE DFRSOFT CLIMATE CALCULATORS</t>
  </si>
  <si>
    <t>Unprotected Work Area</t>
  </si>
  <si>
    <t>Version: 8/4/2024</t>
  </si>
  <si>
    <t>Global Warming Due to Urbanization</t>
  </si>
  <si>
    <t>Based on the user's inputs, result provide the GMEEB for two different time periods. In Ref. 3, the years 1950 and 2019 were used with estimated re-radiation values based on the paper research and feedback findings</t>
  </si>
  <si>
    <t>Total GHG</t>
  </si>
  <si>
    <t xml:space="preserve"> CO2 Forcing Required  </t>
  </si>
  <si>
    <t xml:space="preserve"> SRM Forcing Required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</si>
</sst>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0.0000"/>
    <numFmt numFmtId="165" formatCode="0.000"/>
    <numFmt numFmtId="166" formatCode="0.000%"/>
    <numFmt numFmtId="167" formatCode="0.000000%"/>
    <numFmt numFmtId="168" formatCode="0.000E+00"/>
    <numFmt numFmtId="169" formatCode="0.0"/>
    <numFmt numFmtId="170" formatCode="0.00000"/>
    <numFmt numFmtId="171" formatCode="0.0000%"/>
    <numFmt numFmtId="172" formatCode="0.000000000000"/>
  </numFmts>
  <fonts count="82" x14ac:knownFonts="1">
    <font>
      <sz val="11"/>
      <color theme="1"/>
      <name val="Calibri"/>
      <family val="2"/>
      <scheme val="minor"/>
    </font>
    <font>
      <sz val="11"/>
      <color theme="1"/>
      <name val="Calibri"/>
      <family val="2"/>
      <scheme val="minor"/>
    </font>
    <font>
      <b/>
      <sz val="11"/>
      <color theme="1"/>
      <name val="Calibri"/>
      <family val="2"/>
      <scheme val="minor"/>
    </font>
    <font>
      <b/>
      <sz val="11"/>
      <name val="Arial Black"/>
      <family val="2"/>
    </font>
    <font>
      <sz val="11"/>
      <color theme="1"/>
      <name val="Arial Black"/>
      <family val="2"/>
    </font>
    <font>
      <b/>
      <sz val="11"/>
      <color theme="1"/>
      <name val="Arial Black"/>
      <family val="2"/>
    </font>
    <font>
      <b/>
      <i/>
      <sz val="11"/>
      <color theme="1"/>
      <name val="Calibri"/>
      <family val="2"/>
      <scheme val="minor"/>
    </font>
    <font>
      <b/>
      <sz val="12"/>
      <color theme="1"/>
      <name val="Calibri"/>
      <family val="2"/>
      <scheme val="minor"/>
    </font>
    <font>
      <b/>
      <sz val="12"/>
      <color theme="1"/>
      <name val="Symbol"/>
      <family val="1"/>
      <charset val="2"/>
    </font>
    <font>
      <b/>
      <sz val="15"/>
      <color theme="3"/>
      <name val="Calibri"/>
      <family val="2"/>
      <scheme val="minor"/>
    </font>
    <font>
      <sz val="11"/>
      <color theme="0"/>
      <name val="Calibri"/>
      <family val="2"/>
      <scheme val="minor"/>
    </font>
    <font>
      <b/>
      <sz val="10"/>
      <name val="Arial Black"/>
      <family val="2"/>
    </font>
    <font>
      <b/>
      <sz val="10"/>
      <name val="Arial"/>
      <family val="2"/>
    </font>
    <font>
      <b/>
      <sz val="11"/>
      <name val="Arial"/>
      <family val="2"/>
    </font>
    <font>
      <sz val="10"/>
      <name val="Arial"/>
      <family val="2"/>
    </font>
    <font>
      <b/>
      <sz val="9"/>
      <color indexed="81"/>
      <name val="Tahoma"/>
      <family val="2"/>
    </font>
    <font>
      <sz val="9"/>
      <color indexed="81"/>
      <name val="Tahoma"/>
      <family val="2"/>
    </font>
    <font>
      <b/>
      <sz val="12"/>
      <color theme="3"/>
      <name val="Calibri"/>
      <family val="2"/>
      <scheme val="minor"/>
    </font>
    <font>
      <sz val="11"/>
      <color theme="0"/>
      <name val="Calibri"/>
      <family val="2"/>
    </font>
    <font>
      <b/>
      <sz val="14"/>
      <color theme="3"/>
      <name val="Calibri"/>
      <family val="2"/>
      <scheme val="minor"/>
    </font>
    <font>
      <b/>
      <sz val="14"/>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4"/>
      <name val="Arial"/>
      <family val="2"/>
    </font>
    <font>
      <b/>
      <sz val="18"/>
      <color theme="3"/>
      <name val="Cambria"/>
      <family val="2"/>
      <scheme val="major"/>
    </font>
    <font>
      <b/>
      <sz val="14"/>
      <color theme="1"/>
      <name val="Symbol"/>
      <family val="1"/>
      <charset val="2"/>
    </font>
    <font>
      <sz val="12"/>
      <color theme="1"/>
      <name val="Calibri"/>
      <family val="2"/>
      <scheme val="minor"/>
    </font>
    <font>
      <sz val="14"/>
      <color theme="1"/>
      <name val="Calibri"/>
      <family val="2"/>
      <scheme val="minor"/>
    </font>
    <font>
      <b/>
      <vertAlign val="subscript"/>
      <sz val="14"/>
      <color theme="1"/>
      <name val="Calibri"/>
      <family val="2"/>
      <scheme val="minor"/>
    </font>
    <font>
      <b/>
      <sz val="14"/>
      <color theme="0"/>
      <name val="Calibri"/>
      <family val="2"/>
      <scheme val="minor"/>
    </font>
    <font>
      <sz val="14"/>
      <color theme="0"/>
      <name val="Calibri"/>
      <family val="2"/>
      <scheme val="minor"/>
    </font>
    <font>
      <b/>
      <sz val="14"/>
      <color theme="0"/>
      <name val="Calibri"/>
      <family val="2"/>
    </font>
    <font>
      <b/>
      <sz val="14"/>
      <color theme="0"/>
      <name val="Symbol"/>
      <family val="1"/>
      <charset val="2"/>
    </font>
    <font>
      <b/>
      <vertAlign val="subscript"/>
      <sz val="14"/>
      <color theme="0"/>
      <name val="Calibri"/>
      <family val="2"/>
    </font>
    <font>
      <b/>
      <vertAlign val="superscript"/>
      <sz val="14"/>
      <color theme="1"/>
      <name val="Calibri"/>
      <family val="2"/>
      <scheme val="minor"/>
    </font>
    <font>
      <b/>
      <vertAlign val="superscript"/>
      <sz val="14"/>
      <color theme="0"/>
      <name val="Calibri"/>
      <family val="2"/>
    </font>
    <font>
      <b/>
      <sz val="12"/>
      <name val="Arial"/>
      <family val="2"/>
    </font>
    <font>
      <vertAlign val="superscript"/>
      <sz val="14"/>
      <color theme="1"/>
      <name val="Calibri"/>
      <family val="2"/>
      <scheme val="minor"/>
    </font>
    <font>
      <vertAlign val="subscript"/>
      <sz val="14"/>
      <color theme="1"/>
      <name val="Calibri"/>
      <family val="2"/>
      <scheme val="minor"/>
    </font>
    <font>
      <b/>
      <sz val="12"/>
      <name val="Calibri"/>
      <family val="2"/>
    </font>
    <font>
      <b/>
      <sz val="12"/>
      <name val="Symbol"/>
      <family val="1"/>
      <charset val="2"/>
    </font>
    <font>
      <b/>
      <vertAlign val="subscript"/>
      <sz val="12"/>
      <name val="Calibri"/>
      <family val="2"/>
    </font>
    <font>
      <b/>
      <vertAlign val="superscript"/>
      <sz val="12"/>
      <name val="Calibri"/>
      <family val="2"/>
    </font>
    <font>
      <b/>
      <sz val="12"/>
      <name val="Arial Black"/>
      <family val="2"/>
    </font>
    <font>
      <sz val="9"/>
      <color theme="1"/>
      <name val="Palatino Linotype"/>
      <family val="1"/>
    </font>
    <font>
      <b/>
      <sz val="14"/>
      <color theme="1"/>
      <name val="Arial"/>
      <family val="2"/>
    </font>
    <font>
      <b/>
      <vertAlign val="subscript"/>
      <sz val="14"/>
      <color theme="1"/>
      <name val="Arial"/>
      <family val="2"/>
    </font>
    <font>
      <b/>
      <vertAlign val="subscript"/>
      <sz val="14"/>
      <color theme="0"/>
      <name val="Calibri"/>
      <family val="2"/>
      <scheme val="minor"/>
    </font>
    <font>
      <b/>
      <sz val="10"/>
      <name val="Symbol"/>
      <family val="1"/>
      <charset val="2"/>
    </font>
    <font>
      <sz val="14"/>
      <color theme="1"/>
      <name val="Symbol"/>
      <family val="1"/>
      <charset val="2"/>
    </font>
    <font>
      <vertAlign val="superscript"/>
      <sz val="12"/>
      <color theme="1"/>
      <name val="Calibri"/>
      <family val="2"/>
      <scheme val="minor"/>
    </font>
    <font>
      <b/>
      <vertAlign val="subscript"/>
      <sz val="14"/>
      <color theme="1"/>
      <name val="Symbol"/>
      <family val="1"/>
      <charset val="2"/>
    </font>
    <font>
      <b/>
      <sz val="16"/>
      <color theme="0"/>
      <name val="Calibri"/>
      <family val="2"/>
      <scheme val="minor"/>
    </font>
    <font>
      <b/>
      <sz val="16"/>
      <color theme="0"/>
      <name val="Symbol"/>
      <family val="1"/>
      <charset val="2"/>
    </font>
    <font>
      <b/>
      <sz val="11"/>
      <color theme="0"/>
      <name val="Calibri"/>
      <family val="2"/>
    </font>
    <font>
      <sz val="14"/>
      <color theme="0"/>
      <name val="Calibri"/>
      <family val="2"/>
    </font>
    <font>
      <b/>
      <sz val="16"/>
      <color theme="0"/>
      <name val="Calibri"/>
      <family val="2"/>
    </font>
    <font>
      <sz val="16"/>
      <color theme="0"/>
      <name val="Calibri"/>
      <family val="2"/>
    </font>
    <font>
      <sz val="18"/>
      <color theme="0"/>
      <name val="Calibri"/>
      <family val="2"/>
      <scheme val="minor"/>
    </font>
    <font>
      <sz val="18"/>
      <color theme="0"/>
      <name val="Symbol"/>
      <family val="1"/>
      <charset val="2"/>
    </font>
    <font>
      <vertAlign val="superscript"/>
      <sz val="18"/>
      <color theme="0"/>
      <name val="Calibri"/>
      <family val="2"/>
      <scheme val="minor"/>
    </font>
    <font>
      <b/>
      <sz val="14"/>
      <name val="Arial Black"/>
      <family val="2"/>
    </font>
    <font>
      <sz val="11"/>
      <color rgb="FFFF0000"/>
      <name val="Calibri"/>
      <family val="2"/>
      <scheme val="minor"/>
    </font>
    <font>
      <sz val="16"/>
      <color indexed="81"/>
      <name val="Tahoma"/>
      <family val="2"/>
    </font>
    <font>
      <sz val="18"/>
      <color theme="0"/>
      <name val="Calibri"/>
      <family val="2"/>
    </font>
    <font>
      <sz val="14"/>
      <color indexed="81"/>
      <name val="Tahoma"/>
      <family val="2"/>
    </font>
    <font>
      <b/>
      <sz val="18"/>
      <color theme="0"/>
      <name val="Calibri"/>
      <family val="2"/>
      <scheme val="minor"/>
    </font>
    <font>
      <b/>
      <sz val="20"/>
      <color theme="0"/>
      <name val="Calibri"/>
      <family val="2"/>
      <scheme val="minor"/>
    </font>
    <font>
      <b/>
      <sz val="22"/>
      <color theme="0"/>
      <name val="Calibri"/>
      <family val="2"/>
      <scheme val="minor"/>
    </font>
    <font>
      <u/>
      <sz val="11"/>
      <color theme="10"/>
      <name val="Calibri"/>
      <family val="2"/>
      <scheme val="minor"/>
    </font>
    <font>
      <u/>
      <sz val="16"/>
      <color theme="10"/>
      <name val="Calibri"/>
      <family val="2"/>
      <scheme val="minor"/>
    </font>
    <font>
      <u/>
      <sz val="18"/>
      <color theme="10"/>
      <name val="Calibri"/>
      <family val="2"/>
      <scheme val="minor"/>
    </font>
    <font>
      <b/>
      <sz val="22"/>
      <color theme="1"/>
      <name val="Calibri"/>
      <family val="2"/>
      <scheme val="minor"/>
    </font>
    <font>
      <sz val="22"/>
      <color theme="1"/>
      <name val="Calibri"/>
      <family val="2"/>
      <scheme val="minor"/>
    </font>
    <font>
      <b/>
      <sz val="16"/>
      <name val="Arial"/>
      <family val="2"/>
    </font>
    <font>
      <b/>
      <sz val="18"/>
      <color theme="0"/>
      <name val="Calibri"/>
      <family val="2"/>
    </font>
    <font>
      <b/>
      <sz val="20"/>
      <color theme="0"/>
      <name val="Calibri"/>
      <family val="2"/>
    </font>
    <font>
      <sz val="20"/>
      <color theme="0"/>
      <name val="Calibri"/>
      <family val="2"/>
    </font>
    <font>
      <u/>
      <sz val="14"/>
      <color theme="10"/>
      <name val="Calibri"/>
      <family val="2"/>
      <scheme val="minor"/>
    </font>
    <font>
      <b/>
      <sz val="11"/>
      <color indexed="81"/>
      <name val="Tahoma"/>
      <family val="2"/>
    </font>
    <font>
      <sz val="18"/>
      <color indexed="81"/>
      <name val="Tahoma"/>
      <family val="2"/>
    </font>
  </fonts>
  <fills count="2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indexed="43"/>
        <bgColor indexed="64"/>
      </patternFill>
    </fill>
    <fill>
      <patternFill patternType="solid">
        <fgColor rgb="FFFFCC00"/>
        <bgColor indexed="64"/>
      </patternFill>
    </fill>
    <fill>
      <patternFill patternType="solid">
        <fgColor rgb="FF00FF00"/>
        <bgColor indexed="64"/>
      </patternFill>
    </fill>
    <fill>
      <patternFill patternType="solid">
        <fgColor rgb="FFFFFFCC"/>
        <bgColor indexed="64"/>
      </patternFill>
    </fill>
    <fill>
      <patternFill patternType="solid">
        <fgColor rgb="FFFFFF99"/>
        <bgColor indexed="64"/>
      </patternFill>
    </fill>
    <fill>
      <patternFill patternType="solid">
        <fgColor indexed="13"/>
        <bgColor indexed="64"/>
      </patternFill>
    </fill>
    <fill>
      <patternFill patternType="solid">
        <fgColor theme="0"/>
        <bgColor indexed="64"/>
      </patternFill>
    </fill>
    <fill>
      <patternFill patternType="solid">
        <fgColor rgb="FFFFFFFF"/>
        <bgColor indexed="64"/>
      </patternFill>
    </fill>
    <fill>
      <patternFill patternType="solid">
        <fgColor rgb="FF0066CC"/>
        <bgColor indexed="48"/>
      </patternFill>
    </fill>
    <fill>
      <patternFill patternType="solid">
        <fgColor theme="5"/>
      </patternFill>
    </fill>
    <fill>
      <patternFill patternType="solid">
        <fgColor theme="9" tint="0.79998168889431442"/>
        <bgColor indexed="65"/>
      </patternFill>
    </fill>
    <fill>
      <patternFill patternType="solid">
        <fgColor theme="8"/>
      </patternFill>
    </fill>
    <fill>
      <patternFill patternType="solid">
        <fgColor theme="4"/>
      </patternFill>
    </fill>
    <fill>
      <patternFill patternType="solid">
        <fgColor theme="9"/>
      </patternFill>
    </fill>
    <fill>
      <patternFill patternType="solid">
        <fgColor theme="9" tint="-0.249977111117893"/>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ck">
        <color theme="4"/>
      </bottom>
      <diagonal/>
    </border>
    <border>
      <left style="thick">
        <color indexed="64"/>
      </left>
      <right style="medium">
        <color indexed="64"/>
      </right>
      <top style="thick">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ck">
        <color indexed="64"/>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4">
    <xf numFmtId="0" fontId="0" fillId="0" borderId="0"/>
    <xf numFmtId="9" fontId="1" fillId="0" borderId="0" applyFont="0" applyFill="0" applyBorder="0" applyAlignment="0" applyProtection="0"/>
    <xf numFmtId="0" fontId="9" fillId="0" borderId="27" applyNumberFormat="0" applyFill="0" applyAlignment="0" applyProtection="0"/>
    <xf numFmtId="0" fontId="11" fillId="8" borderId="28" applyBorder="0">
      <alignment horizontal="center" vertical="center"/>
      <protection hidden="1"/>
    </xf>
    <xf numFmtId="0" fontId="12" fillId="2" borderId="0" applyBorder="0">
      <alignment horizontal="center" vertical="center"/>
      <protection hidden="1"/>
    </xf>
    <xf numFmtId="0" fontId="13" fillId="9" borderId="8" applyBorder="0">
      <alignment horizontal="center" vertical="center"/>
      <protection locked="0"/>
    </xf>
    <xf numFmtId="0" fontId="12" fillId="0" borderId="1" applyBorder="0">
      <alignment horizontal="left" vertical="center"/>
      <protection hidden="1"/>
    </xf>
    <xf numFmtId="0" fontId="12" fillId="11" borderId="8" applyBorder="0">
      <alignment horizontal="center" vertical="center"/>
      <protection hidden="1"/>
    </xf>
    <xf numFmtId="167" fontId="14" fillId="10" borderId="0" applyBorder="0">
      <alignment horizontal="center" vertical="center"/>
      <protection hidden="1"/>
    </xf>
    <xf numFmtId="0" fontId="12" fillId="12" borderId="0">
      <alignment horizontal="left" vertical="center"/>
      <protection hidden="1"/>
    </xf>
    <xf numFmtId="0" fontId="14" fillId="13" borderId="9" applyBorder="0">
      <alignment horizontal="center" vertical="center"/>
      <protection hidden="1"/>
    </xf>
    <xf numFmtId="0" fontId="11" fillId="13" borderId="32" applyBorder="0">
      <alignment horizontal="center" vertical="center"/>
      <protection hidden="1"/>
    </xf>
    <xf numFmtId="0" fontId="14" fillId="13" borderId="9" applyBorder="0">
      <alignment horizontal="center" vertical="center"/>
      <protection hidden="1"/>
    </xf>
    <xf numFmtId="0" fontId="14" fillId="14" borderId="9" applyBorder="0">
      <alignment horizontal="center" vertical="center"/>
      <protection hidden="1"/>
    </xf>
    <xf numFmtId="0" fontId="18" fillId="15" borderId="19" applyBorder="0" applyProtection="0">
      <protection hidden="1"/>
    </xf>
    <xf numFmtId="0" fontId="14" fillId="10" borderId="10">
      <alignment horizontal="left" vertical="center"/>
      <protection hidden="1"/>
    </xf>
    <xf numFmtId="0" fontId="10" fillId="16" borderId="0" applyNumberFormat="0" applyBorder="0" applyAlignment="0" applyProtection="0"/>
    <xf numFmtId="43" fontId="1" fillId="0" borderId="0" applyFont="0" applyFill="0" applyBorder="0" applyAlignment="0" applyProtection="0"/>
    <xf numFmtId="0" fontId="25" fillId="0" borderId="0" applyNumberFormat="0" applyFill="0" applyBorder="0" applyAlignment="0" applyProtection="0"/>
    <xf numFmtId="0" fontId="1"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70" fillId="0" borderId="0" applyNumberFormat="0" applyFill="0" applyBorder="0" applyAlignment="0" applyProtection="0"/>
  </cellStyleXfs>
  <cellXfs count="362">
    <xf numFmtId="0" fontId="0" fillId="0" borderId="0" xfId="0"/>
    <xf numFmtId="0" fontId="0" fillId="0" borderId="0" xfId="0" applyAlignment="1">
      <alignment horizontal="center"/>
    </xf>
    <xf numFmtId="164" fontId="0" fillId="0" borderId="0" xfId="0" applyNumberFormat="1"/>
    <xf numFmtId="0" fontId="0" fillId="0" borderId="0" xfId="0" applyBorder="1"/>
    <xf numFmtId="0" fontId="2" fillId="0" borderId="13" xfId="0" applyFont="1" applyBorder="1" applyAlignment="1">
      <alignment horizontal="center"/>
    </xf>
    <xf numFmtId="0" fontId="2" fillId="3" borderId="8" xfId="0" applyFont="1" applyFill="1" applyBorder="1" applyAlignment="1">
      <alignment horizontal="center"/>
    </xf>
    <xf numFmtId="0" fontId="2" fillId="3" borderId="9" xfId="0" applyFont="1" applyFill="1" applyBorder="1"/>
    <xf numFmtId="0" fontId="2" fillId="3" borderId="0" xfId="0" applyFont="1" applyFill="1" applyBorder="1" applyAlignment="1">
      <alignment horizontal="center"/>
    </xf>
    <xf numFmtId="0" fontId="2" fillId="3" borderId="4" xfId="0" applyFont="1" applyFill="1" applyBorder="1" applyAlignment="1">
      <alignment horizontal="center"/>
    </xf>
    <xf numFmtId="0" fontId="2" fillId="3" borderId="9" xfId="0" applyFont="1" applyFill="1" applyBorder="1" applyAlignment="1">
      <alignment horizontal="center"/>
    </xf>
    <xf numFmtId="0" fontId="2" fillId="3" borderId="20" xfId="0" applyFont="1" applyFill="1" applyBorder="1" applyAlignment="1">
      <alignment horizontal="center"/>
    </xf>
    <xf numFmtId="0" fontId="2" fillId="3" borderId="1" xfId="0" applyFont="1" applyFill="1" applyBorder="1" applyAlignment="1">
      <alignment horizontal="center"/>
    </xf>
    <xf numFmtId="0" fontId="2" fillId="3" borderId="8" xfId="0" applyFont="1" applyFill="1" applyBorder="1"/>
    <xf numFmtId="0" fontId="2" fillId="3" borderId="2" xfId="0" applyFont="1" applyFill="1" applyBorder="1" applyAlignment="1">
      <alignment horizontal="center"/>
    </xf>
    <xf numFmtId="0" fontId="2" fillId="3" borderId="12" xfId="0" applyFont="1" applyFill="1" applyBorder="1" applyAlignment="1">
      <alignment horizontal="center"/>
    </xf>
    <xf numFmtId="0" fontId="2" fillId="3" borderId="3" xfId="0" applyFont="1" applyFill="1" applyBorder="1" applyAlignment="1">
      <alignment horizontal="center"/>
    </xf>
    <xf numFmtId="0" fontId="2" fillId="3" borderId="23" xfId="0" applyFont="1" applyFill="1" applyBorder="1" applyAlignment="1">
      <alignment horizontal="center"/>
    </xf>
    <xf numFmtId="0" fontId="2" fillId="3" borderId="5" xfId="0" applyFont="1" applyFill="1" applyBorder="1" applyAlignment="1">
      <alignment horizontal="center"/>
    </xf>
    <xf numFmtId="0" fontId="3" fillId="5" borderId="21" xfId="0" applyFont="1" applyFill="1" applyBorder="1" applyAlignment="1">
      <alignment horizontal="center"/>
    </xf>
    <xf numFmtId="165" fontId="3" fillId="5" borderId="21" xfId="0" applyNumberFormat="1" applyFont="1" applyFill="1" applyBorder="1" applyAlignment="1">
      <alignment horizontal="center"/>
    </xf>
    <xf numFmtId="164" fontId="3" fillId="5" borderId="10" xfId="0" applyNumberFormat="1" applyFont="1" applyFill="1" applyBorder="1" applyAlignment="1">
      <alignment horizontal="center"/>
    </xf>
    <xf numFmtId="164" fontId="3" fillId="5" borderId="21" xfId="0" applyNumberFormat="1" applyFont="1" applyFill="1" applyBorder="1" applyAlignment="1">
      <alignment horizontal="center"/>
    </xf>
    <xf numFmtId="164" fontId="3" fillId="5" borderId="14" xfId="0" applyNumberFormat="1" applyFont="1" applyFill="1" applyBorder="1" applyAlignment="1">
      <alignment horizontal="center"/>
    </xf>
    <xf numFmtId="164" fontId="3" fillId="5" borderId="16" xfId="0" applyNumberFormat="1" applyFont="1" applyFill="1" applyBorder="1" applyAlignment="1">
      <alignment horizontal="center"/>
    </xf>
    <xf numFmtId="0" fontId="4" fillId="6" borderId="10" xfId="1" applyNumberFormat="1" applyFont="1" applyFill="1" applyBorder="1" applyAlignment="1">
      <alignment horizontal="center"/>
    </xf>
    <xf numFmtId="166" fontId="4" fillId="6" borderId="10" xfId="1" applyNumberFormat="1" applyFont="1" applyFill="1" applyBorder="1" applyAlignment="1">
      <alignment horizontal="center"/>
    </xf>
    <xf numFmtId="2" fontId="4" fillId="6" borderId="16" xfId="0" applyNumberFormat="1" applyFont="1" applyFill="1" applyBorder="1" applyAlignment="1">
      <alignment horizontal="center"/>
    </xf>
    <xf numFmtId="0" fontId="4" fillId="4" borderId="22" xfId="0" quotePrefix="1" applyFont="1" applyFill="1" applyBorder="1" applyAlignment="1">
      <alignment horizontal="center"/>
    </xf>
    <xf numFmtId="2" fontId="5" fillId="4" borderId="18" xfId="0" applyNumberFormat="1" applyFont="1" applyFill="1" applyBorder="1" applyAlignment="1">
      <alignment horizontal="center"/>
    </xf>
    <xf numFmtId="0" fontId="2" fillId="0" borderId="21" xfId="0" applyFont="1" applyBorder="1" applyAlignment="1">
      <alignment horizontal="center"/>
    </xf>
    <xf numFmtId="0" fontId="0" fillId="0" borderId="15" xfId="0" applyBorder="1" applyAlignment="1">
      <alignment horizontal="center"/>
    </xf>
    <xf numFmtId="0" fontId="2" fillId="2" borderId="14" xfId="0" applyFont="1" applyFill="1" applyBorder="1" applyAlignment="1">
      <alignment horizontal="center"/>
    </xf>
    <xf numFmtId="0" fontId="6" fillId="3" borderId="4" xfId="0" applyFont="1" applyFill="1" applyBorder="1" applyAlignment="1">
      <alignment horizontal="center"/>
    </xf>
    <xf numFmtId="2" fontId="3" fillId="5" borderId="10" xfId="0" applyNumberFormat="1" applyFont="1" applyFill="1" applyBorder="1" applyAlignment="1">
      <alignment horizontal="center"/>
    </xf>
    <xf numFmtId="0" fontId="3" fillId="5" borderId="10" xfId="0" applyFont="1" applyFill="1" applyBorder="1" applyAlignment="1">
      <alignment horizontal="center"/>
    </xf>
    <xf numFmtId="165" fontId="4" fillId="6" borderId="10" xfId="0" applyNumberFormat="1" applyFont="1" applyFill="1" applyBorder="1" applyAlignment="1">
      <alignment horizontal="center"/>
    </xf>
    <xf numFmtId="164" fontId="4" fillId="6" borderId="10" xfId="0" applyNumberFormat="1" applyFont="1" applyFill="1" applyBorder="1" applyAlignment="1">
      <alignment horizontal="center"/>
    </xf>
    <xf numFmtId="2" fontId="4" fillId="6" borderId="10" xfId="0" applyNumberFormat="1" applyFont="1" applyFill="1" applyBorder="1" applyAlignment="1">
      <alignment horizontal="center"/>
    </xf>
    <xf numFmtId="165" fontId="3" fillId="5" borderId="13" xfId="0" applyNumberFormat="1" applyFont="1" applyFill="1" applyBorder="1" applyAlignment="1">
      <alignment horizontal="center"/>
    </xf>
    <xf numFmtId="2" fontId="3" fillId="5" borderId="21" xfId="0" applyNumberFormat="1" applyFont="1" applyFill="1" applyBorder="1" applyAlignment="1">
      <alignment horizontal="center"/>
    </xf>
    <xf numFmtId="165" fontId="3" fillId="5" borderId="15" xfId="0" applyNumberFormat="1" applyFont="1" applyFill="1" applyBorder="1" applyAlignment="1">
      <alignment horizontal="center"/>
    </xf>
    <xf numFmtId="165" fontId="4" fillId="6" borderId="15" xfId="0" applyNumberFormat="1" applyFont="1" applyFill="1" applyBorder="1" applyAlignment="1">
      <alignment horizontal="center"/>
    </xf>
    <xf numFmtId="165" fontId="5" fillId="4" borderId="17" xfId="0" applyNumberFormat="1" applyFont="1" applyFill="1" applyBorder="1" applyAlignment="1">
      <alignment horizontal="center"/>
    </xf>
    <xf numFmtId="165" fontId="4" fillId="4" borderId="22" xfId="0" quotePrefix="1" applyNumberFormat="1" applyFont="1" applyFill="1" applyBorder="1" applyAlignment="1">
      <alignment horizontal="center"/>
    </xf>
    <xf numFmtId="164" fontId="4" fillId="4" borderId="22" xfId="0" applyNumberFormat="1" applyFont="1" applyFill="1" applyBorder="1" applyAlignment="1">
      <alignment horizontal="center"/>
    </xf>
    <xf numFmtId="2" fontId="4" fillId="4" borderId="22" xfId="0" applyNumberFormat="1" applyFont="1" applyFill="1" applyBorder="1" applyAlignment="1">
      <alignment horizontal="center"/>
    </xf>
    <xf numFmtId="0" fontId="7" fillId="0" borderId="10" xfId="0" applyFont="1" applyBorder="1" applyAlignment="1">
      <alignment horizontal="center"/>
    </xf>
    <xf numFmtId="0" fontId="7" fillId="0" borderId="10" xfId="0" applyFont="1" applyFill="1" applyBorder="1" applyAlignment="1">
      <alignment horizontal="center"/>
    </xf>
    <xf numFmtId="0" fontId="8" fillId="0" borderId="22" xfId="0" applyFont="1" applyBorder="1" applyAlignment="1">
      <alignment horizontal="center"/>
    </xf>
    <xf numFmtId="0" fontId="2" fillId="3" borderId="11" xfId="0" applyFont="1" applyFill="1" applyBorder="1"/>
    <xf numFmtId="0" fontId="2" fillId="3" borderId="11" xfId="0" applyFont="1" applyFill="1" applyBorder="1" applyAlignment="1">
      <alignment horizontal="center"/>
    </xf>
    <xf numFmtId="0" fontId="7" fillId="2" borderId="24" xfId="0" applyFont="1" applyFill="1" applyBorder="1" applyAlignment="1">
      <alignment horizontal="center"/>
    </xf>
    <xf numFmtId="0" fontId="7" fillId="2" borderId="25" xfId="0" applyFont="1" applyFill="1" applyBorder="1" applyAlignment="1">
      <alignment horizontal="center"/>
    </xf>
    <xf numFmtId="0" fontId="7" fillId="2" borderId="26" xfId="0" applyFont="1" applyFill="1" applyBorder="1" applyAlignment="1">
      <alignment horizontal="center"/>
    </xf>
    <xf numFmtId="0" fontId="2" fillId="2" borderId="6" xfId="0" applyFont="1" applyFill="1" applyBorder="1"/>
    <xf numFmtId="0" fontId="0" fillId="2" borderId="7" xfId="0" applyFill="1" applyBorder="1"/>
    <xf numFmtId="0" fontId="0" fillId="2" borderId="19" xfId="0" applyFill="1" applyBorder="1" applyAlignment="1">
      <alignment horizontal="center"/>
    </xf>
    <xf numFmtId="0" fontId="0" fillId="2" borderId="6" xfId="0" applyFill="1" applyBorder="1" applyAlignment="1">
      <alignment horizontal="center"/>
    </xf>
    <xf numFmtId="0" fontId="2" fillId="2" borderId="6" xfId="0" applyFont="1" applyFill="1" applyBorder="1" applyAlignment="1">
      <alignment horizontal="center"/>
    </xf>
    <xf numFmtId="0" fontId="0" fillId="2" borderId="7" xfId="0" applyFill="1" applyBorder="1" applyAlignment="1">
      <alignment horizontal="center"/>
    </xf>
    <xf numFmtId="0" fontId="0" fillId="0" borderId="9" xfId="0" applyBorder="1"/>
    <xf numFmtId="0" fontId="0" fillId="0" borderId="29" xfId="0" applyBorder="1"/>
    <xf numFmtId="0" fontId="20" fillId="2" borderId="6" xfId="0" applyFont="1" applyFill="1" applyBorder="1" applyAlignment="1">
      <alignment horizontal="center"/>
    </xf>
    <xf numFmtId="0" fontId="0" fillId="0" borderId="5" xfId="0" applyBorder="1"/>
    <xf numFmtId="0" fontId="17" fillId="7" borderId="19" xfId="2" applyFont="1" applyFill="1" applyBorder="1" applyAlignment="1" applyProtection="1">
      <alignment horizontal="left" vertical="center"/>
      <protection hidden="1"/>
    </xf>
    <xf numFmtId="0" fontId="17" fillId="7" borderId="6" xfId="2" applyFont="1" applyFill="1" applyBorder="1" applyAlignment="1" applyProtection="1">
      <alignment horizontal="center" vertical="center"/>
      <protection hidden="1"/>
    </xf>
    <xf numFmtId="0" fontId="19" fillId="7" borderId="6" xfId="2" applyFont="1" applyFill="1" applyBorder="1" applyAlignment="1" applyProtection="1">
      <alignment horizontal="center" vertical="center"/>
      <protection hidden="1"/>
    </xf>
    <xf numFmtId="0" fontId="9" fillId="7" borderId="6" xfId="2" applyFill="1" applyBorder="1" applyAlignment="1" applyProtection="1">
      <alignment horizontal="center" vertical="center"/>
      <protection hidden="1"/>
    </xf>
    <xf numFmtId="0" fontId="9" fillId="7" borderId="7" xfId="2" applyFill="1" applyBorder="1" applyAlignment="1" applyProtection="1">
      <alignment horizontal="center" vertical="center"/>
      <protection hidden="1"/>
    </xf>
    <xf numFmtId="0" fontId="20" fillId="2" borderId="19" xfId="0" applyFont="1" applyFill="1" applyBorder="1"/>
    <xf numFmtId="0" fontId="0" fillId="0" borderId="1" xfId="0" applyBorder="1"/>
    <xf numFmtId="0" fontId="0" fillId="0" borderId="2" xfId="0" applyBorder="1"/>
    <xf numFmtId="0" fontId="0" fillId="0" borderId="4" xfId="0" applyBorder="1"/>
    <xf numFmtId="2" fontId="2" fillId="2" borderId="16" xfId="0" applyNumberFormat="1" applyFont="1" applyFill="1" applyBorder="1" applyAlignment="1">
      <alignment horizontal="center"/>
    </xf>
    <xf numFmtId="2" fontId="2" fillId="0" borderId="16" xfId="0" applyNumberFormat="1" applyFont="1" applyBorder="1" applyAlignment="1">
      <alignment horizontal="center"/>
    </xf>
    <xf numFmtId="165" fontId="2" fillId="0" borderId="18" xfId="0" applyNumberFormat="1" applyFont="1" applyBorder="1" applyAlignment="1">
      <alignment horizontal="center"/>
    </xf>
    <xf numFmtId="0" fontId="2" fillId="3" borderId="34" xfId="0" applyFont="1" applyFill="1" applyBorder="1"/>
    <xf numFmtId="2" fontId="2" fillId="2" borderId="15" xfId="0" applyNumberFormat="1" applyFont="1" applyFill="1" applyBorder="1" applyAlignment="1">
      <alignment horizontal="center"/>
    </xf>
    <xf numFmtId="2" fontId="2" fillId="0" borderId="15" xfId="0" applyNumberFormat="1" applyFont="1" applyBorder="1" applyAlignment="1">
      <alignment horizontal="center"/>
    </xf>
    <xf numFmtId="165" fontId="2" fillId="0" borderId="17" xfId="0" applyNumberFormat="1" applyFont="1" applyBorder="1" applyAlignment="1">
      <alignment horizontal="center"/>
    </xf>
    <xf numFmtId="0" fontId="2" fillId="3" borderId="1" xfId="0" applyFont="1" applyFill="1" applyBorder="1"/>
    <xf numFmtId="0" fontId="2" fillId="3" borderId="4" xfId="0" applyFont="1" applyFill="1" applyBorder="1"/>
    <xf numFmtId="0" fontId="2" fillId="3" borderId="29" xfId="0" applyFont="1" applyFill="1" applyBorder="1" applyAlignment="1">
      <alignment horizontal="center"/>
    </xf>
    <xf numFmtId="165" fontId="2" fillId="2" borderId="16" xfId="0" applyNumberFormat="1" applyFont="1" applyFill="1" applyBorder="1" applyAlignment="1">
      <alignment horizontal="center"/>
    </xf>
    <xf numFmtId="0" fontId="2" fillId="0" borderId="0" xfId="0" quotePrefix="1" applyFont="1" applyBorder="1" applyAlignment="1">
      <alignment horizontal="center"/>
    </xf>
    <xf numFmtId="0" fontId="2" fillId="0" borderId="31" xfId="0" quotePrefix="1" applyFont="1" applyBorder="1" applyAlignment="1">
      <alignment horizontal="center"/>
    </xf>
    <xf numFmtId="0" fontId="2" fillId="5" borderId="18" xfId="0" applyFont="1" applyFill="1" applyBorder="1" applyAlignment="1">
      <alignment horizontal="center"/>
    </xf>
    <xf numFmtId="0" fontId="22" fillId="0" borderId="17" xfId="0" applyFont="1" applyBorder="1" applyAlignment="1">
      <alignment horizontal="center"/>
    </xf>
    <xf numFmtId="0" fontId="0" fillId="0" borderId="0" xfId="0" applyProtection="1"/>
    <xf numFmtId="0" fontId="11" fillId="8" borderId="4" xfId="3" applyBorder="1" applyProtection="1">
      <alignment horizontal="center" vertical="center"/>
    </xf>
    <xf numFmtId="0" fontId="0" fillId="0" borderId="0" xfId="0" applyAlignment="1" applyProtection="1">
      <alignment horizontal="center"/>
    </xf>
    <xf numFmtId="0" fontId="2" fillId="2" borderId="10" xfId="0" applyFont="1" applyFill="1" applyBorder="1" applyAlignment="1">
      <alignment horizontal="center"/>
    </xf>
    <xf numFmtId="0" fontId="0" fillId="0" borderId="38" xfId="0" applyBorder="1" applyAlignment="1">
      <alignment horizontal="center"/>
    </xf>
    <xf numFmtId="0" fontId="2" fillId="0" borderId="38" xfId="0" applyFont="1" applyBorder="1" applyAlignment="1">
      <alignment horizontal="center"/>
    </xf>
    <xf numFmtId="0" fontId="21" fillId="0" borderId="6" xfId="0" applyFont="1" applyBorder="1"/>
    <xf numFmtId="0" fontId="21" fillId="0" borderId="7" xfId="0" applyFont="1" applyBorder="1"/>
    <xf numFmtId="2" fontId="23" fillId="0" borderId="19" xfId="0" applyNumberFormat="1" applyFont="1" applyBorder="1"/>
    <xf numFmtId="0" fontId="0" fillId="0" borderId="0" xfId="0" applyProtection="1">
      <protection locked="0"/>
    </xf>
    <xf numFmtId="0" fontId="2" fillId="0" borderId="0" xfId="0" applyFont="1"/>
    <xf numFmtId="0" fontId="2" fillId="0" borderId="0" xfId="0" applyFont="1" applyAlignment="1">
      <alignment horizontal="left"/>
    </xf>
    <xf numFmtId="0" fontId="0" fillId="0" borderId="0" xfId="0" applyFill="1" applyBorder="1" applyAlignment="1" applyProtection="1">
      <alignment horizontal="center"/>
    </xf>
    <xf numFmtId="0" fontId="2" fillId="2" borderId="41" xfId="0" applyFont="1" applyFill="1" applyBorder="1" applyAlignment="1" applyProtection="1">
      <alignment horizontal="center"/>
    </xf>
    <xf numFmtId="0" fontId="27" fillId="0" borderId="10" xfId="0" applyFont="1" applyBorder="1" applyAlignment="1" applyProtection="1">
      <alignment horizontal="center"/>
    </xf>
    <xf numFmtId="0" fontId="28" fillId="0" borderId="10" xfId="0" applyFont="1" applyBorder="1" applyAlignment="1" applyProtection="1">
      <alignment horizontal="center"/>
    </xf>
    <xf numFmtId="0" fontId="20" fillId="0" borderId="38" xfId="0" applyFont="1" applyBorder="1" applyAlignment="1" applyProtection="1">
      <alignment horizontal="center"/>
    </xf>
    <xf numFmtId="0" fontId="28" fillId="0" borderId="10" xfId="0" applyFont="1" applyFill="1" applyBorder="1" applyAlignment="1" applyProtection="1">
      <alignment horizontal="center"/>
    </xf>
    <xf numFmtId="0" fontId="20" fillId="0" borderId="10" xfId="0" applyFont="1" applyBorder="1" applyAlignment="1" applyProtection="1">
      <alignment horizontal="center"/>
    </xf>
    <xf numFmtId="0" fontId="20" fillId="0" borderId="0" xfId="0" applyFont="1" applyAlignment="1" applyProtection="1">
      <alignment horizontal="center"/>
    </xf>
    <xf numFmtId="0" fontId="24" fillId="9" borderId="35" xfId="5" applyFont="1" applyBorder="1" applyProtection="1">
      <alignment horizontal="center" vertical="center"/>
      <protection locked="0"/>
    </xf>
    <xf numFmtId="0" fontId="27" fillId="0" borderId="41" xfId="0" applyFont="1" applyBorder="1" applyAlignment="1" applyProtection="1">
      <alignment horizontal="center"/>
    </xf>
    <xf numFmtId="0" fontId="27" fillId="0" borderId="35" xfId="0" applyFont="1" applyBorder="1" applyAlignment="1" applyProtection="1">
      <alignment horizontal="center"/>
    </xf>
    <xf numFmtId="0" fontId="37" fillId="9" borderId="0" xfId="5" applyFont="1" applyBorder="1" applyProtection="1">
      <alignment horizontal="center" vertical="center"/>
      <protection locked="0"/>
    </xf>
    <xf numFmtId="0" fontId="37" fillId="9" borderId="31" xfId="5" applyFont="1" applyBorder="1" applyProtection="1">
      <alignment horizontal="center" vertical="center"/>
      <protection locked="0"/>
    </xf>
    <xf numFmtId="0" fontId="37" fillId="9" borderId="9" xfId="5" applyFont="1" applyBorder="1" applyProtection="1">
      <alignment horizontal="center" vertical="center"/>
      <protection locked="0"/>
    </xf>
    <xf numFmtId="0" fontId="37" fillId="9" borderId="29" xfId="5" applyFont="1" applyBorder="1" applyProtection="1">
      <alignment horizontal="center" vertical="center"/>
      <protection locked="0"/>
    </xf>
    <xf numFmtId="0" fontId="20" fillId="0" borderId="43" xfId="0" applyFont="1" applyBorder="1" applyAlignment="1" applyProtection="1">
      <alignment horizontal="center"/>
    </xf>
    <xf numFmtId="0" fontId="30" fillId="16" borderId="19" xfId="16" applyFont="1" applyBorder="1" applyProtection="1"/>
    <xf numFmtId="0" fontId="31" fillId="16" borderId="6" xfId="16" applyFont="1" applyBorder="1" applyProtection="1"/>
    <xf numFmtId="0" fontId="30" fillId="16" borderId="7" xfId="16" applyFont="1" applyBorder="1" applyAlignment="1" applyProtection="1">
      <alignment horizontal="center"/>
    </xf>
    <xf numFmtId="0" fontId="20" fillId="0" borderId="40" xfId="0" applyFont="1" applyBorder="1" applyAlignment="1" applyProtection="1">
      <alignment horizontal="center"/>
    </xf>
    <xf numFmtId="0" fontId="20" fillId="0" borderId="39" xfId="0" applyFont="1" applyFill="1" applyBorder="1" applyAlignment="1" applyProtection="1">
      <alignment horizontal="center"/>
    </xf>
    <xf numFmtId="0" fontId="32" fillId="15" borderId="9" xfId="14" applyFont="1" applyBorder="1" applyAlignment="1" applyProtection="1">
      <alignment horizontal="center"/>
    </xf>
    <xf numFmtId="0" fontId="7" fillId="0" borderId="8" xfId="0" applyFont="1" applyBorder="1" applyAlignment="1" applyProtection="1">
      <alignment horizontal="center"/>
    </xf>
    <xf numFmtId="0" fontId="7" fillId="0" borderId="25" xfId="0" applyFont="1" applyFill="1" applyBorder="1" applyAlignment="1" applyProtection="1">
      <alignment horizontal="center"/>
    </xf>
    <xf numFmtId="0" fontId="40" fillId="0" borderId="4" xfId="14" applyFont="1" applyFill="1" applyBorder="1" applyAlignment="1" applyProtection="1">
      <alignment horizontal="center"/>
    </xf>
    <xf numFmtId="0" fontId="20" fillId="0" borderId="36" xfId="0" applyFont="1" applyBorder="1" applyAlignment="1" applyProtection="1">
      <alignment horizontal="center"/>
    </xf>
    <xf numFmtId="0" fontId="28" fillId="0" borderId="25" xfId="0" applyFont="1" applyBorder="1" applyAlignment="1" applyProtection="1">
      <alignment horizontal="center"/>
    </xf>
    <xf numFmtId="0" fontId="28" fillId="0" borderId="5" xfId="0" applyFont="1" applyFill="1" applyBorder="1" applyAlignment="1" applyProtection="1">
      <alignment horizontal="center"/>
    </xf>
    <xf numFmtId="0" fontId="24" fillId="9" borderId="42" xfId="5" applyFont="1" applyBorder="1" applyProtection="1">
      <alignment horizontal="center" vertical="center"/>
      <protection locked="0"/>
    </xf>
    <xf numFmtId="0" fontId="20" fillId="0" borderId="10" xfId="0" quotePrefix="1" applyFont="1" applyBorder="1" applyAlignment="1" applyProtection="1">
      <alignment horizontal="center"/>
    </xf>
    <xf numFmtId="0" fontId="20" fillId="17" borderId="44" xfId="19" applyFont="1" applyBorder="1" applyAlignment="1" applyProtection="1">
      <alignment horizontal="center"/>
    </xf>
    <xf numFmtId="164" fontId="20" fillId="17" borderId="44" xfId="19" applyNumberFormat="1" applyFont="1" applyBorder="1" applyAlignment="1" applyProtection="1">
      <alignment horizontal="center"/>
    </xf>
    <xf numFmtId="0" fontId="32" fillId="15" borderId="44" xfId="14" applyFont="1" applyBorder="1" applyAlignment="1" applyProtection="1">
      <alignment horizontal="center"/>
    </xf>
    <xf numFmtId="170" fontId="32" fillId="15" borderId="33" xfId="14" applyNumberFormat="1" applyFont="1" applyBorder="1" applyAlignment="1" applyProtection="1">
      <alignment horizontal="center"/>
    </xf>
    <xf numFmtId="0" fontId="7" fillId="0" borderId="9" xfId="0" applyFont="1" applyBorder="1" applyAlignment="1" applyProtection="1">
      <alignment horizontal="center"/>
    </xf>
    <xf numFmtId="0" fontId="7" fillId="0" borderId="1" xfId="0" applyFont="1" applyBorder="1" applyAlignment="1" applyProtection="1">
      <alignment horizontal="center"/>
    </xf>
    <xf numFmtId="0" fontId="30" fillId="16" borderId="8" xfId="16" applyFont="1" applyBorder="1" applyAlignment="1" applyProtection="1">
      <alignment horizontal="center"/>
    </xf>
    <xf numFmtId="0" fontId="20" fillId="17" borderId="9" xfId="19" applyFont="1" applyBorder="1" applyAlignment="1" applyProtection="1">
      <alignment horizontal="center"/>
    </xf>
    <xf numFmtId="164" fontId="20" fillId="17" borderId="9" xfId="19" applyNumberFormat="1" applyFont="1" applyBorder="1" applyAlignment="1" applyProtection="1">
      <alignment horizontal="center"/>
    </xf>
    <xf numFmtId="170" fontId="32" fillId="15" borderId="29" xfId="14" applyNumberFormat="1" applyFont="1" applyBorder="1" applyAlignment="1" applyProtection="1">
      <alignment horizontal="center"/>
    </xf>
    <xf numFmtId="0" fontId="7" fillId="0" borderId="5" xfId="0" applyFont="1" applyBorder="1" applyAlignment="1" applyProtection="1">
      <alignment horizontal="center"/>
    </xf>
    <xf numFmtId="0" fontId="20" fillId="17" borderId="23" xfId="19" applyFont="1" applyBorder="1" applyAlignment="1" applyProtection="1">
      <alignment horizontal="center"/>
    </xf>
    <xf numFmtId="164" fontId="20" fillId="17" borderId="23" xfId="19" applyNumberFormat="1" applyFont="1" applyBorder="1" applyAlignment="1" applyProtection="1">
      <alignment horizontal="center"/>
    </xf>
    <xf numFmtId="0" fontId="32" fillId="15" borderId="23" xfId="14" applyFont="1" applyBorder="1" applyAlignment="1" applyProtection="1">
      <alignment horizontal="center"/>
    </xf>
    <xf numFmtId="170" fontId="32" fillId="15" borderId="30" xfId="14" applyNumberFormat="1" applyFont="1" applyBorder="1" applyAlignment="1" applyProtection="1">
      <alignment horizontal="center"/>
    </xf>
    <xf numFmtId="0" fontId="30" fillId="16" borderId="29" xfId="16" applyFont="1" applyBorder="1" applyAlignment="1" applyProtection="1">
      <alignment horizontal="center"/>
    </xf>
    <xf numFmtId="0" fontId="13" fillId="9" borderId="16" xfId="5" applyBorder="1">
      <alignment horizontal="center" vertical="center"/>
      <protection locked="0"/>
    </xf>
    <xf numFmtId="0" fontId="0" fillId="0" borderId="0" xfId="0" applyProtection="1">
      <protection hidden="1"/>
    </xf>
    <xf numFmtId="0" fontId="12" fillId="2" borderId="8" xfId="4" applyBorder="1" applyProtection="1">
      <alignment horizontal="center" vertical="center"/>
      <protection hidden="1"/>
    </xf>
    <xf numFmtId="0" fontId="12" fillId="12" borderId="8" xfId="9" applyBorder="1" applyAlignment="1" applyProtection="1">
      <alignment horizontal="center" vertical="center"/>
      <protection hidden="1"/>
    </xf>
    <xf numFmtId="0" fontId="12" fillId="12" borderId="1" xfId="9" applyBorder="1" applyAlignment="1" applyProtection="1">
      <alignment horizontal="center" vertical="center"/>
      <protection hidden="1"/>
    </xf>
    <xf numFmtId="0" fontId="12" fillId="12" borderId="3" xfId="9" applyBorder="1" applyAlignment="1" applyProtection="1">
      <alignment horizontal="center" vertical="center"/>
      <protection hidden="1"/>
    </xf>
    <xf numFmtId="0" fontId="12" fillId="13" borderId="9" xfId="10" applyFont="1" applyBorder="1" applyProtection="1">
      <alignment horizontal="center" vertical="center"/>
      <protection hidden="1"/>
    </xf>
    <xf numFmtId="0" fontId="13" fillId="9" borderId="9" xfId="5" applyBorder="1" applyProtection="1">
      <alignment horizontal="center" vertical="center"/>
      <protection hidden="1"/>
    </xf>
    <xf numFmtId="0" fontId="11" fillId="13" borderId="4" xfId="11" applyBorder="1" applyProtection="1">
      <alignment horizontal="center" vertical="center"/>
      <protection hidden="1"/>
    </xf>
    <xf numFmtId="0" fontId="11" fillId="13" borderId="9" xfId="11" applyBorder="1" applyProtection="1">
      <alignment horizontal="center" vertical="center"/>
      <protection hidden="1"/>
    </xf>
    <xf numFmtId="0" fontId="11" fillId="13" borderId="23" xfId="11" applyBorder="1" applyProtection="1">
      <alignment horizontal="center" vertical="center"/>
      <protection hidden="1"/>
    </xf>
    <xf numFmtId="0" fontId="14" fillId="13" borderId="4" xfId="12" applyBorder="1" applyProtection="1">
      <alignment horizontal="center" vertical="center"/>
      <protection hidden="1"/>
    </xf>
    <xf numFmtId="0" fontId="14" fillId="13" borderId="9" xfId="12" applyBorder="1" applyProtection="1">
      <alignment horizontal="center" vertical="center"/>
      <protection hidden="1"/>
    </xf>
    <xf numFmtId="0" fontId="14" fillId="13" borderId="23" xfId="12" applyBorder="1" applyProtection="1">
      <alignment horizontal="center" vertical="center"/>
      <protection hidden="1"/>
    </xf>
    <xf numFmtId="0" fontId="12" fillId="13" borderId="29" xfId="10" applyFont="1" applyBorder="1" applyProtection="1">
      <alignment horizontal="center" vertical="center"/>
      <protection hidden="1"/>
    </xf>
    <xf numFmtId="0" fontId="13" fillId="9" borderId="29" xfId="5" applyBorder="1" applyProtection="1">
      <alignment horizontal="center" vertical="center"/>
      <protection hidden="1"/>
    </xf>
    <xf numFmtId="0" fontId="11" fillId="13" borderId="5" xfId="11" applyBorder="1" applyProtection="1">
      <alignment horizontal="center" vertical="center"/>
      <protection hidden="1"/>
    </xf>
    <xf numFmtId="0" fontId="11" fillId="13" borderId="29" xfId="11" applyBorder="1" applyProtection="1">
      <alignment horizontal="center" vertical="center"/>
      <protection hidden="1"/>
    </xf>
    <xf numFmtId="0" fontId="0" fillId="0" borderId="0" xfId="0" applyAlignment="1" applyProtection="1">
      <alignment horizontal="center"/>
      <protection hidden="1"/>
    </xf>
    <xf numFmtId="0" fontId="14" fillId="13" borderId="29" xfId="12" applyBorder="1" applyProtection="1">
      <alignment horizontal="center" vertical="center"/>
      <protection hidden="1"/>
    </xf>
    <xf numFmtId="0" fontId="45" fillId="0" borderId="0" xfId="0" applyFont="1" applyProtection="1"/>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0" xfId="0" applyBorder="1" applyProtection="1">
      <protection locked="0"/>
    </xf>
    <xf numFmtId="0" fontId="0" fillId="0" borderId="23" xfId="0" applyBorder="1" applyProtection="1">
      <protection locked="0"/>
    </xf>
    <xf numFmtId="0" fontId="0" fillId="0" borderId="5" xfId="0" applyBorder="1" applyProtection="1">
      <protection locked="0"/>
    </xf>
    <xf numFmtId="0" fontId="0" fillId="0" borderId="31" xfId="0" applyBorder="1" applyProtection="1">
      <protection locked="0"/>
    </xf>
    <xf numFmtId="0" fontId="0" fillId="0" borderId="30" xfId="0" applyBorder="1" applyProtection="1">
      <protection locked="0"/>
    </xf>
    <xf numFmtId="0" fontId="25" fillId="2" borderId="0" xfId="18" applyFill="1" applyBorder="1" applyAlignment="1" applyProtection="1">
      <alignment horizontal="left" vertical="center"/>
    </xf>
    <xf numFmtId="0" fontId="25" fillId="2" borderId="0" xfId="18" applyFill="1" applyProtection="1"/>
    <xf numFmtId="0" fontId="0" fillId="2" borderId="0" xfId="0" applyFill="1" applyProtection="1"/>
    <xf numFmtId="0" fontId="20" fillId="0" borderId="37" xfId="0" applyFont="1" applyBorder="1" applyAlignment="1" applyProtection="1">
      <alignment horizontal="center"/>
    </xf>
    <xf numFmtId="0" fontId="20" fillId="0" borderId="19" xfId="0" applyFont="1" applyBorder="1" applyAlignment="1" applyProtection="1">
      <alignment horizontal="left"/>
    </xf>
    <xf numFmtId="0" fontId="0" fillId="0" borderId="6" xfId="0" applyBorder="1" applyProtection="1"/>
    <xf numFmtId="0" fontId="0" fillId="0" borderId="7" xfId="0" applyBorder="1" applyProtection="1"/>
    <xf numFmtId="0" fontId="20" fillId="0" borderId="7" xfId="0" applyFont="1" applyBorder="1" applyAlignment="1" applyProtection="1">
      <alignment horizontal="center"/>
    </xf>
    <xf numFmtId="0" fontId="3" fillId="8" borderId="9" xfId="3" applyFont="1" applyBorder="1" applyProtection="1">
      <alignment horizontal="center" vertical="center"/>
    </xf>
    <xf numFmtId="0" fontId="3" fillId="8" borderId="0" xfId="3" applyFont="1" applyBorder="1" applyProtection="1">
      <alignment horizontal="center" vertical="center"/>
    </xf>
    <xf numFmtId="0" fontId="3" fillId="8" borderId="4" xfId="3" applyFont="1" applyBorder="1" applyProtection="1">
      <alignment horizontal="center" vertical="center"/>
    </xf>
    <xf numFmtId="0" fontId="3" fillId="8" borderId="8" xfId="3" applyFont="1" applyBorder="1" applyProtection="1">
      <alignment horizontal="center" vertical="center"/>
    </xf>
    <xf numFmtId="0" fontId="44" fillId="8" borderId="5" xfId="3" applyFont="1" applyBorder="1" applyProtection="1">
      <alignment horizontal="center" vertical="center"/>
    </xf>
    <xf numFmtId="0" fontId="3" fillId="8" borderId="29" xfId="3" applyFont="1" applyBorder="1" applyProtection="1">
      <alignment horizontal="center" vertical="center"/>
    </xf>
    <xf numFmtId="0" fontId="3" fillId="8" borderId="31" xfId="3" applyFont="1" applyBorder="1" applyProtection="1">
      <alignment horizontal="center" vertical="center"/>
    </xf>
    <xf numFmtId="0" fontId="3" fillId="8" borderId="5" xfId="3" applyFont="1" applyBorder="1" applyProtection="1">
      <alignment horizontal="center" vertical="center"/>
    </xf>
    <xf numFmtId="0" fontId="7" fillId="0" borderId="25" xfId="0" applyFont="1" applyBorder="1" applyAlignment="1" applyProtection="1">
      <alignment horizontal="center"/>
    </xf>
    <xf numFmtId="0" fontId="7" fillId="0" borderId="26" xfId="0" applyFont="1" applyBorder="1" applyAlignment="1" applyProtection="1">
      <alignment horizontal="center"/>
    </xf>
    <xf numFmtId="171" fontId="20" fillId="2" borderId="8" xfId="1" applyNumberFormat="1" applyFont="1" applyFill="1" applyBorder="1" applyAlignment="1" applyProtection="1">
      <alignment horizontal="center"/>
    </xf>
    <xf numFmtId="0" fontId="20" fillId="2" borderId="8" xfId="0" applyFont="1" applyFill="1" applyBorder="1" applyAlignment="1" applyProtection="1">
      <alignment horizontal="center"/>
    </xf>
    <xf numFmtId="0" fontId="7" fillId="0" borderId="4" xfId="0" applyFont="1" applyBorder="1" applyAlignment="1" applyProtection="1">
      <alignment horizontal="center"/>
    </xf>
    <xf numFmtId="168" fontId="20" fillId="2" borderId="9" xfId="17" applyNumberFormat="1" applyFont="1" applyFill="1" applyBorder="1" applyAlignment="1" applyProtection="1">
      <alignment horizontal="center" wrapText="1"/>
    </xf>
    <xf numFmtId="168" fontId="20" fillId="2" borderId="0" xfId="17" applyNumberFormat="1" applyFont="1" applyFill="1" applyBorder="1" applyAlignment="1" applyProtection="1">
      <alignment horizontal="center" wrapText="1"/>
    </xf>
    <xf numFmtId="165" fontId="20" fillId="2" borderId="29" xfId="0" applyNumberFormat="1" applyFont="1" applyFill="1" applyBorder="1" applyAlignment="1" applyProtection="1">
      <alignment horizontal="center"/>
    </xf>
    <xf numFmtId="169" fontId="20" fillId="2" borderId="9" xfId="0" applyNumberFormat="1" applyFont="1" applyFill="1" applyBorder="1" applyAlignment="1" applyProtection="1">
      <alignment horizontal="center"/>
    </xf>
    <xf numFmtId="169" fontId="20" fillId="2" borderId="0" xfId="0" applyNumberFormat="1" applyFont="1" applyFill="1" applyBorder="1" applyAlignment="1" applyProtection="1">
      <alignment horizontal="center"/>
    </xf>
    <xf numFmtId="0" fontId="7" fillId="0" borderId="4" xfId="0" applyFont="1" applyFill="1" applyBorder="1" applyAlignment="1" applyProtection="1">
      <alignment horizontal="center"/>
    </xf>
    <xf numFmtId="0" fontId="7" fillId="0" borderId="5" xfId="0" applyFont="1" applyFill="1" applyBorder="1" applyAlignment="1" applyProtection="1">
      <alignment horizontal="center"/>
    </xf>
    <xf numFmtId="169" fontId="20" fillId="2" borderId="29" xfId="0" applyNumberFormat="1" applyFont="1" applyFill="1" applyBorder="1" applyAlignment="1" applyProtection="1">
      <alignment horizontal="center"/>
    </xf>
    <xf numFmtId="169" fontId="20" fillId="2" borderId="31" xfId="0" applyNumberFormat="1" applyFont="1" applyFill="1" applyBorder="1" applyAlignment="1" applyProtection="1">
      <alignment horizontal="center"/>
    </xf>
    <xf numFmtId="169" fontId="27" fillId="0" borderId="30" xfId="0" applyNumberFormat="1" applyFont="1" applyBorder="1" applyAlignment="1" applyProtection="1">
      <alignment horizontal="center"/>
    </xf>
    <xf numFmtId="164" fontId="0" fillId="0" borderId="0" xfId="0" applyNumberFormat="1" applyProtection="1"/>
    <xf numFmtId="0" fontId="30" fillId="16" borderId="37" xfId="16" applyFont="1" applyBorder="1" applyAlignment="1" applyProtection="1">
      <alignment horizontal="center"/>
    </xf>
    <xf numFmtId="0" fontId="46" fillId="17" borderId="45" xfId="19" applyFont="1" applyBorder="1" applyAlignment="1" applyProtection="1">
      <alignment horizontal="center"/>
    </xf>
    <xf numFmtId="164" fontId="20" fillId="17" borderId="46" xfId="19" applyNumberFormat="1" applyFont="1" applyBorder="1" applyAlignment="1" applyProtection="1">
      <alignment horizontal="center"/>
    </xf>
    <xf numFmtId="0" fontId="28" fillId="0" borderId="26" xfId="0" applyFont="1" applyBorder="1" applyAlignment="1" applyProtection="1">
      <alignment horizontal="center"/>
    </xf>
    <xf numFmtId="0" fontId="20" fillId="0" borderId="22" xfId="0" applyFont="1" applyBorder="1" applyAlignment="1" applyProtection="1">
      <alignment horizontal="center"/>
    </xf>
    <xf numFmtId="0" fontId="24" fillId="9" borderId="47" xfId="5" applyFont="1" applyBorder="1" applyProtection="1">
      <alignment horizontal="center" vertical="center"/>
      <protection locked="0"/>
    </xf>
    <xf numFmtId="0" fontId="14" fillId="13" borderId="9" xfId="12" applyBorder="1">
      <alignment horizontal="center" vertical="center"/>
      <protection hidden="1"/>
    </xf>
    <xf numFmtId="0" fontId="14" fillId="13" borderId="29" xfId="12" applyBorder="1">
      <alignment horizontal="center" vertical="center"/>
      <protection hidden="1"/>
    </xf>
    <xf numFmtId="0" fontId="37" fillId="9" borderId="37" xfId="5" applyFont="1" applyBorder="1" applyProtection="1">
      <alignment horizontal="center" vertical="center"/>
      <protection locked="0"/>
    </xf>
    <xf numFmtId="0" fontId="12" fillId="11" borderId="8" xfId="7" applyBorder="1">
      <alignment horizontal="center" vertical="center"/>
      <protection hidden="1"/>
    </xf>
    <xf numFmtId="165" fontId="12" fillId="11" borderId="29" xfId="7" applyNumberFormat="1" applyBorder="1">
      <alignment horizontal="center" vertical="center"/>
      <protection hidden="1"/>
    </xf>
    <xf numFmtId="0" fontId="12" fillId="2" borderId="8" xfId="12" applyFont="1" applyFill="1" applyBorder="1">
      <alignment horizontal="center" vertical="center"/>
      <protection hidden="1"/>
    </xf>
    <xf numFmtId="0" fontId="13" fillId="9" borderId="29" xfId="5" applyBorder="1">
      <alignment horizontal="center" vertical="center"/>
      <protection locked="0"/>
    </xf>
    <xf numFmtId="172" fontId="0" fillId="0" borderId="0" xfId="0" applyNumberFormat="1"/>
    <xf numFmtId="169" fontId="27" fillId="0" borderId="0" xfId="0" applyNumberFormat="1" applyFont="1" applyBorder="1" applyAlignment="1" applyProtection="1">
      <alignment horizontal="center"/>
    </xf>
    <xf numFmtId="0" fontId="20" fillId="17" borderId="8" xfId="19" applyFont="1" applyBorder="1" applyAlignment="1" applyProtection="1">
      <alignment horizontal="center"/>
    </xf>
    <xf numFmtId="164" fontId="20" fillId="17" borderId="29" xfId="19" applyNumberFormat="1" applyFont="1" applyBorder="1" applyAlignment="1" applyProtection="1">
      <alignment horizontal="center"/>
    </xf>
    <xf numFmtId="0" fontId="53" fillId="18" borderId="8" xfId="20" applyFont="1" applyBorder="1" applyAlignment="1">
      <alignment horizontal="center"/>
    </xf>
    <xf numFmtId="0" fontId="0" fillId="0" borderId="23" xfId="0" applyBorder="1"/>
    <xf numFmtId="0" fontId="32" fillId="15" borderId="1" xfId="14" applyFont="1" applyBorder="1" applyAlignment="1" applyProtection="1">
      <alignment horizontal="center"/>
    </xf>
    <xf numFmtId="0" fontId="32" fillId="15" borderId="4" xfId="14" applyFont="1" applyBorder="1" applyAlignment="1" applyProtection="1">
      <alignment horizontal="center"/>
    </xf>
    <xf numFmtId="170" fontId="32" fillId="15" borderId="5" xfId="14" applyNumberFormat="1" applyFont="1" applyBorder="1" applyAlignment="1" applyProtection="1">
      <alignment horizontal="center"/>
    </xf>
    <xf numFmtId="0" fontId="55" fillId="15" borderId="0" xfId="14" applyFont="1" applyBorder="1" applyAlignment="1" applyProtection="1">
      <alignment horizontal="center"/>
    </xf>
    <xf numFmtId="0" fontId="20" fillId="0" borderId="39" xfId="0" applyFont="1" applyBorder="1" applyAlignment="1">
      <alignment horizontal="center"/>
    </xf>
    <xf numFmtId="0" fontId="20" fillId="0" borderId="39" xfId="0" applyFont="1" applyBorder="1" applyAlignment="1" applyProtection="1">
      <alignment horizontal="center"/>
    </xf>
    <xf numFmtId="0" fontId="28" fillId="0" borderId="48" xfId="0" applyFont="1" applyBorder="1" applyAlignment="1">
      <alignment horizontal="center"/>
    </xf>
    <xf numFmtId="0" fontId="28" fillId="0" borderId="48" xfId="0" applyFont="1" applyBorder="1" applyAlignment="1" applyProtection="1">
      <alignment horizontal="center"/>
    </xf>
    <xf numFmtId="0" fontId="28" fillId="0" borderId="48" xfId="0" applyFont="1" applyFill="1" applyBorder="1" applyAlignment="1" applyProtection="1">
      <alignment horizontal="center"/>
    </xf>
    <xf numFmtId="0" fontId="28" fillId="0" borderId="29" xfId="0" applyFont="1" applyFill="1" applyBorder="1" applyAlignment="1" applyProtection="1">
      <alignment horizontal="center"/>
    </xf>
    <xf numFmtId="0" fontId="56" fillId="15" borderId="29" xfId="14" applyFont="1" applyBorder="1" applyAlignment="1" applyProtection="1">
      <alignment horizontal="center"/>
    </xf>
    <xf numFmtId="0" fontId="53" fillId="18" borderId="3" xfId="20" applyFont="1" applyBorder="1" applyAlignment="1">
      <alignment horizontal="center"/>
    </xf>
    <xf numFmtId="0" fontId="28" fillId="0" borderId="33" xfId="0" applyFont="1" applyBorder="1" applyAlignment="1">
      <alignment horizontal="center"/>
    </xf>
    <xf numFmtId="164" fontId="20" fillId="17" borderId="5" xfId="19" applyNumberFormat="1" applyFont="1" applyBorder="1" applyAlignment="1" applyProtection="1">
      <alignment horizontal="center"/>
    </xf>
    <xf numFmtId="0" fontId="7" fillId="0" borderId="0" xfId="0" applyFont="1" applyBorder="1" applyAlignment="1" applyProtection="1">
      <alignment horizontal="center"/>
    </xf>
    <xf numFmtId="0" fontId="27" fillId="0" borderId="42" xfId="0" applyFont="1" applyBorder="1" applyAlignment="1" applyProtection="1">
      <alignment horizontal="center"/>
    </xf>
    <xf numFmtId="0" fontId="28" fillId="0" borderId="39" xfId="0" applyFont="1" applyBorder="1" applyAlignment="1" applyProtection="1">
      <alignment horizontal="center"/>
    </xf>
    <xf numFmtId="0" fontId="20" fillId="0" borderId="49" xfId="0" applyFont="1" applyBorder="1" applyAlignment="1" applyProtection="1">
      <alignment horizontal="center"/>
    </xf>
    <xf numFmtId="0" fontId="2" fillId="2" borderId="14" xfId="0" applyFont="1" applyFill="1" applyBorder="1" applyAlignment="1" applyProtection="1">
      <alignment horizontal="center"/>
    </xf>
    <xf numFmtId="0" fontId="24" fillId="9" borderId="16" xfId="5" applyFont="1" applyBorder="1" applyProtection="1">
      <alignment horizontal="center" vertical="center"/>
      <protection locked="0"/>
    </xf>
    <xf numFmtId="11" fontId="24" fillId="9" borderId="16" xfId="5" applyNumberFormat="1" applyFont="1" applyBorder="1" applyProtection="1">
      <alignment horizontal="center" vertical="center"/>
      <protection locked="0"/>
    </xf>
    <xf numFmtId="0" fontId="26" fillId="0" borderId="0" xfId="0" applyFont="1" applyBorder="1" applyAlignment="1" applyProtection="1">
      <alignment horizontal="center"/>
    </xf>
    <xf numFmtId="0" fontId="0" fillId="0" borderId="31" xfId="0" applyBorder="1"/>
    <xf numFmtId="0" fontId="24" fillId="9" borderId="18" xfId="5" applyFont="1" applyBorder="1" applyProtection="1">
      <alignment horizontal="center" vertical="center"/>
      <protection locked="0"/>
    </xf>
    <xf numFmtId="0" fontId="28" fillId="0" borderId="37" xfId="0" applyFont="1" applyFill="1" applyBorder="1" applyAlignment="1" applyProtection="1">
      <alignment horizontal="center"/>
    </xf>
    <xf numFmtId="0" fontId="20" fillId="0" borderId="50" xfId="0" applyFont="1" applyFill="1" applyBorder="1" applyAlignment="1" applyProtection="1">
      <alignment horizontal="center"/>
    </xf>
    <xf numFmtId="0" fontId="24" fillId="9" borderId="51" xfId="5" applyFont="1" applyBorder="1" applyProtection="1">
      <alignment horizontal="center" vertical="center"/>
      <protection locked="0"/>
    </xf>
    <xf numFmtId="0" fontId="57" fillId="15" borderId="0" xfId="14" applyFont="1" applyBorder="1" applyProtection="1"/>
    <xf numFmtId="0" fontId="12" fillId="11" borderId="0" xfId="7" applyBorder="1">
      <alignment horizontal="center" vertical="center"/>
      <protection hidden="1"/>
    </xf>
    <xf numFmtId="0" fontId="57" fillId="15" borderId="9" xfId="14" applyFont="1" applyBorder="1" applyProtection="1"/>
    <xf numFmtId="0" fontId="30" fillId="16" borderId="5" xfId="16" applyFont="1" applyBorder="1" applyProtection="1"/>
    <xf numFmtId="0" fontId="31" fillId="16" borderId="31" xfId="16" applyFont="1" applyBorder="1" applyProtection="1"/>
    <xf numFmtId="0" fontId="22" fillId="0" borderId="52" xfId="0" applyFont="1" applyBorder="1" applyAlignment="1">
      <alignment horizontal="center"/>
    </xf>
    <xf numFmtId="0" fontId="8" fillId="0" borderId="53" xfId="0" applyFont="1" applyBorder="1" applyAlignment="1">
      <alignment horizontal="center"/>
    </xf>
    <xf numFmtId="0" fontId="2" fillId="5" borderId="54" xfId="0" applyFont="1" applyFill="1" applyBorder="1" applyAlignment="1" applyProtection="1">
      <alignment horizontal="center"/>
      <protection locked="0"/>
    </xf>
    <xf numFmtId="0" fontId="27" fillId="0" borderId="10" xfId="0" applyFont="1" applyBorder="1"/>
    <xf numFmtId="11" fontId="27" fillId="0" borderId="10" xfId="0" applyNumberFormat="1" applyFont="1" applyBorder="1" applyAlignment="1">
      <alignment horizontal="center"/>
    </xf>
    <xf numFmtId="0" fontId="26" fillId="0" borderId="10" xfId="0" applyFont="1" applyBorder="1" applyAlignment="1" applyProtection="1">
      <alignment horizontal="center"/>
    </xf>
    <xf numFmtId="0" fontId="27" fillId="0" borderId="10" xfId="0" applyFont="1" applyBorder="1" applyAlignment="1">
      <alignment horizontal="center"/>
    </xf>
    <xf numFmtId="0" fontId="18" fillId="15" borderId="0" xfId="14" applyBorder="1" applyProtection="1"/>
    <xf numFmtId="0" fontId="56" fillId="15" borderId="0" xfId="14" applyFont="1" applyBorder="1" applyProtection="1"/>
    <xf numFmtId="0" fontId="58" fillId="15" borderId="19" xfId="14" applyFont="1" applyBorder="1" applyProtection="1"/>
    <xf numFmtId="0" fontId="58" fillId="15" borderId="6" xfId="14" applyFont="1" applyBorder="1" applyProtection="1"/>
    <xf numFmtId="0" fontId="58" fillId="15" borderId="7" xfId="14" applyFont="1" applyBorder="1" applyProtection="1"/>
    <xf numFmtId="0" fontId="57" fillId="15" borderId="37" xfId="14" applyFont="1" applyBorder="1" applyProtection="1"/>
    <xf numFmtId="0" fontId="59" fillId="19" borderId="8" xfId="21" applyFont="1" applyBorder="1" applyAlignment="1">
      <alignment horizontal="center"/>
    </xf>
    <xf numFmtId="0" fontId="24" fillId="12" borderId="29" xfId="9" applyFont="1" applyBorder="1" applyAlignment="1">
      <alignment horizontal="center" vertical="center"/>
      <protection hidden="1"/>
    </xf>
    <xf numFmtId="0" fontId="62" fillId="8" borderId="46" xfId="3" applyFont="1" applyBorder="1">
      <alignment horizontal="center" vertical="center"/>
      <protection hidden="1"/>
    </xf>
    <xf numFmtId="0" fontId="26" fillId="0" borderId="39" xfId="0" applyFont="1" applyBorder="1" applyAlignment="1" applyProtection="1">
      <alignment horizontal="center"/>
    </xf>
    <xf numFmtId="165" fontId="2" fillId="2" borderId="10" xfId="0" applyNumberFormat="1" applyFont="1" applyFill="1" applyBorder="1" applyAlignment="1">
      <alignment horizontal="center"/>
    </xf>
    <xf numFmtId="0" fontId="65" fillId="15" borderId="0" xfId="14" applyFont="1" applyBorder="1" applyProtection="1"/>
    <xf numFmtId="0" fontId="59" fillId="21" borderId="0" xfId="16" applyFont="1" applyFill="1"/>
    <xf numFmtId="0" fontId="0" fillId="21" borderId="0" xfId="0" applyFill="1"/>
    <xf numFmtId="0" fontId="69" fillId="21" borderId="0" xfId="16" applyFont="1" applyFill="1"/>
    <xf numFmtId="0" fontId="63" fillId="0" borderId="0" xfId="0" applyFont="1"/>
    <xf numFmtId="0" fontId="68" fillId="21" borderId="0" xfId="22" applyFont="1" applyFill="1"/>
    <xf numFmtId="0" fontId="7" fillId="0" borderId="0" xfId="0" applyFont="1"/>
    <xf numFmtId="0" fontId="59" fillId="21" borderId="0" xfId="0" applyFont="1" applyFill="1"/>
    <xf numFmtId="0" fontId="67" fillId="21" borderId="0" xfId="0" applyFont="1" applyFill="1"/>
    <xf numFmtId="0" fontId="27" fillId="0" borderId="0" xfId="0" applyFont="1"/>
    <xf numFmtId="0" fontId="27" fillId="0" borderId="0" xfId="0" applyFont="1" applyProtection="1"/>
    <xf numFmtId="0" fontId="27" fillId="0" borderId="10" xfId="0" applyNumberFormat="1" applyFont="1" applyBorder="1" applyAlignment="1">
      <alignment horizontal="center"/>
    </xf>
    <xf numFmtId="0" fontId="27" fillId="0" borderId="10" xfId="0" applyFont="1" applyFill="1" applyBorder="1"/>
    <xf numFmtId="0" fontId="28" fillId="0" borderId="0" xfId="0" applyFont="1" applyProtection="1"/>
    <xf numFmtId="0" fontId="71" fillId="12" borderId="0" xfId="23" applyFont="1" applyFill="1" applyAlignment="1" applyProtection="1">
      <alignment horizontal="left" vertical="center"/>
      <protection hidden="1"/>
    </xf>
    <xf numFmtId="0" fontId="72" fillId="12" borderId="0" xfId="23" applyFont="1" applyFill="1" applyAlignment="1" applyProtection="1">
      <alignment horizontal="left" vertical="center"/>
      <protection hidden="1"/>
    </xf>
    <xf numFmtId="0" fontId="30" fillId="18" borderId="0" xfId="20" applyFont="1" applyAlignment="1">
      <alignment horizontal="center"/>
    </xf>
    <xf numFmtId="11" fontId="57" fillId="15" borderId="0" xfId="14" applyNumberFormat="1" applyFont="1" applyBorder="1" applyAlignment="1" applyProtection="1">
      <alignment horizontal="center"/>
    </xf>
    <xf numFmtId="0" fontId="73" fillId="2" borderId="19" xfId="0" applyFont="1" applyFill="1" applyBorder="1"/>
    <xf numFmtId="0" fontId="74" fillId="2" borderId="6" xfId="0" applyFont="1" applyFill="1" applyBorder="1"/>
    <xf numFmtId="0" fontId="0" fillId="2" borderId="6" xfId="0" applyFill="1" applyBorder="1"/>
    <xf numFmtId="0" fontId="28" fillId="0" borderId="0" xfId="0" applyFont="1"/>
    <xf numFmtId="0" fontId="28" fillId="0" borderId="0" xfId="0" applyFont="1" applyAlignment="1">
      <alignment horizontal="center"/>
    </xf>
    <xf numFmtId="0" fontId="32" fillId="15" borderId="0" xfId="14" applyFont="1" applyBorder="1" applyAlignment="1" applyProtection="1">
      <alignment horizontal="center"/>
    </xf>
    <xf numFmtId="0" fontId="20" fillId="0" borderId="0" xfId="0" applyFont="1" applyAlignment="1">
      <alignment horizontal="center"/>
    </xf>
    <xf numFmtId="0" fontId="62" fillId="8" borderId="9" xfId="3" applyFont="1" applyBorder="1" applyAlignment="1">
      <alignment horizontal="center" vertical="center"/>
      <protection hidden="1"/>
    </xf>
    <xf numFmtId="0" fontId="28" fillId="0" borderId="9" xfId="0" applyFont="1" applyBorder="1" applyAlignment="1">
      <alignment horizontal="center"/>
    </xf>
    <xf numFmtId="0" fontId="62" fillId="8" borderId="29" xfId="3" applyFont="1" applyBorder="1" applyAlignment="1">
      <alignment horizontal="center" vertical="center"/>
      <protection hidden="1"/>
    </xf>
    <xf numFmtId="0" fontId="32" fillId="15" borderId="8" xfId="14" applyFont="1" applyBorder="1" applyAlignment="1" applyProtection="1">
      <alignment horizontal="center"/>
    </xf>
    <xf numFmtId="0" fontId="24" fillId="12" borderId="9" xfId="9" applyFont="1" applyBorder="1" applyAlignment="1">
      <alignment horizontal="center" vertical="center"/>
      <protection hidden="1"/>
    </xf>
    <xf numFmtId="0" fontId="20" fillId="0" borderId="9" xfId="0" applyFont="1" applyBorder="1" applyAlignment="1">
      <alignment horizontal="center"/>
    </xf>
    <xf numFmtId="0" fontId="20" fillId="0" borderId="29" xfId="0" applyFont="1" applyBorder="1" applyAlignment="1">
      <alignment horizontal="center"/>
    </xf>
    <xf numFmtId="0" fontId="24" fillId="9" borderId="24" xfId="5" applyFont="1" applyBorder="1" applyProtection="1">
      <alignment horizontal="center" vertical="center"/>
      <protection locked="0"/>
    </xf>
    <xf numFmtId="0" fontId="28" fillId="0" borderId="14" xfId="0" applyFont="1" applyBorder="1" applyAlignment="1">
      <alignment horizontal="center"/>
    </xf>
    <xf numFmtId="0" fontId="24" fillId="9" borderId="25" xfId="5" applyFont="1" applyBorder="1" applyProtection="1">
      <alignment horizontal="center" vertical="center"/>
      <protection locked="0"/>
    </xf>
    <xf numFmtId="0" fontId="28" fillId="0" borderId="16" xfId="0" applyFont="1" applyBorder="1" applyAlignment="1">
      <alignment horizontal="center"/>
    </xf>
    <xf numFmtId="0" fontId="24" fillId="9" borderId="26" xfId="5" applyFont="1" applyBorder="1" applyProtection="1">
      <alignment horizontal="center" vertical="center"/>
      <protection locked="0"/>
    </xf>
    <xf numFmtId="0" fontId="28" fillId="0" borderId="18" xfId="0" applyFont="1" applyBorder="1" applyAlignment="1">
      <alignment horizontal="center"/>
    </xf>
    <xf numFmtId="0" fontId="28" fillId="0" borderId="8" xfId="0" applyFont="1" applyBorder="1"/>
    <xf numFmtId="0" fontId="28" fillId="0" borderId="9" xfId="0" applyFont="1" applyBorder="1"/>
    <xf numFmtId="0" fontId="20" fillId="0" borderId="9" xfId="0" applyFont="1" applyBorder="1"/>
    <xf numFmtId="0" fontId="28" fillId="0" borderId="29" xfId="0" applyFont="1" applyBorder="1"/>
    <xf numFmtId="0" fontId="37" fillId="11" borderId="19" xfId="7" applyFont="1" applyBorder="1">
      <alignment horizontal="center" vertical="center"/>
      <protection hidden="1"/>
    </xf>
    <xf numFmtId="0" fontId="37" fillId="11" borderId="37" xfId="7" applyFont="1" applyBorder="1">
      <alignment horizontal="center" vertical="center"/>
      <protection hidden="1"/>
    </xf>
    <xf numFmtId="0" fontId="37" fillId="11" borderId="6" xfId="7" applyFont="1" applyBorder="1">
      <alignment horizontal="center" vertical="center"/>
      <protection hidden="1"/>
    </xf>
    <xf numFmtId="0" fontId="37" fillId="11" borderId="7" xfId="7" applyFont="1" applyBorder="1">
      <alignment horizontal="center" vertical="center"/>
      <protection hidden="1"/>
    </xf>
    <xf numFmtId="0" fontId="76" fillId="15" borderId="0" xfId="14" applyFont="1" applyBorder="1" applyProtection="1"/>
    <xf numFmtId="0" fontId="77" fillId="15" borderId="0" xfId="14" applyFont="1" applyBorder="1" applyProtection="1"/>
    <xf numFmtId="0" fontId="78" fillId="15" borderId="0" xfId="14" applyFont="1" applyBorder="1" applyProtection="1"/>
    <xf numFmtId="0" fontId="28" fillId="0" borderId="9" xfId="0" applyFont="1" applyBorder="1" applyAlignment="1">
      <alignment horizontal="left"/>
    </xf>
    <xf numFmtId="0" fontId="28" fillId="0" borderId="9" xfId="0" applyFont="1" applyFill="1" applyBorder="1" applyAlignment="1">
      <alignment horizontal="left"/>
    </xf>
    <xf numFmtId="0" fontId="0" fillId="0" borderId="0" xfId="0" applyAlignment="1">
      <alignment horizontal="left"/>
    </xf>
    <xf numFmtId="0" fontId="20" fillId="0" borderId="9" xfId="0" applyFont="1" applyBorder="1" applyAlignment="1">
      <alignment horizontal="left"/>
    </xf>
    <xf numFmtId="0" fontId="28" fillId="0" borderId="8" xfId="0" applyFont="1" applyBorder="1" applyAlignment="1">
      <alignment horizontal="left"/>
    </xf>
    <xf numFmtId="0" fontId="28" fillId="0" borderId="56" xfId="0" applyFont="1" applyBorder="1" applyAlignment="1">
      <alignment horizontal="center"/>
    </xf>
    <xf numFmtId="0" fontId="28" fillId="0" borderId="29" xfId="0" applyFont="1" applyFill="1" applyBorder="1" applyAlignment="1">
      <alignment horizontal="left"/>
    </xf>
    <xf numFmtId="0" fontId="24" fillId="9" borderId="55" xfId="5" applyFont="1" applyBorder="1" applyProtection="1">
      <alignment horizontal="center" vertical="center"/>
      <protection locked="0"/>
    </xf>
    <xf numFmtId="0" fontId="24" fillId="9" borderId="56" xfId="5" applyFont="1" applyBorder="1" applyProtection="1">
      <alignment horizontal="center" vertical="center"/>
      <protection locked="0"/>
    </xf>
    <xf numFmtId="0" fontId="11" fillId="13" borderId="56" xfId="11" applyBorder="1">
      <alignment horizontal="center" vertical="center"/>
      <protection hidden="1"/>
    </xf>
    <xf numFmtId="0" fontId="24" fillId="9" borderId="33" xfId="5" applyFont="1" applyBorder="1" applyProtection="1">
      <alignment horizontal="center" vertical="center"/>
      <protection locked="0"/>
    </xf>
    <xf numFmtId="0" fontId="37" fillId="11" borderId="1" xfId="7" applyFont="1" applyBorder="1">
      <alignment horizontal="center" vertical="center"/>
      <protection hidden="1"/>
    </xf>
    <xf numFmtId="9" fontId="28" fillId="0" borderId="56" xfId="0" applyNumberFormat="1" applyFont="1" applyBorder="1" applyAlignment="1">
      <alignment horizontal="center"/>
    </xf>
    <xf numFmtId="10" fontId="28" fillId="0" borderId="0" xfId="0" applyNumberFormat="1" applyFont="1" applyAlignment="1">
      <alignment horizontal="center"/>
    </xf>
    <xf numFmtId="165" fontId="62" fillId="8" borderId="29" xfId="3" applyNumberFormat="1" applyFont="1" applyBorder="1" applyAlignment="1">
      <alignment horizontal="center" vertical="center"/>
      <protection hidden="1"/>
    </xf>
    <xf numFmtId="165" fontId="62" fillId="8" borderId="9" xfId="3" applyNumberFormat="1" applyFont="1" applyBorder="1" applyAlignment="1">
      <alignment horizontal="center" vertical="center"/>
      <protection hidden="1"/>
    </xf>
    <xf numFmtId="165" fontId="24" fillId="12" borderId="29" xfId="9" applyNumberFormat="1" applyFont="1" applyBorder="1" applyAlignment="1">
      <alignment horizontal="center" vertical="center"/>
      <protection hidden="1"/>
    </xf>
    <xf numFmtId="9" fontId="28" fillId="0" borderId="55" xfId="0" applyNumberFormat="1" applyFont="1" applyBorder="1" applyAlignment="1">
      <alignment horizontal="center"/>
    </xf>
    <xf numFmtId="0" fontId="76" fillId="15" borderId="9" xfId="14" applyFont="1" applyBorder="1" applyProtection="1"/>
    <xf numFmtId="0" fontId="79" fillId="12" borderId="0" xfId="23" applyFont="1" applyFill="1" applyAlignment="1" applyProtection="1">
      <alignment horizontal="left" vertical="center"/>
      <protection hidden="1"/>
    </xf>
    <xf numFmtId="0" fontId="57" fillId="15" borderId="0" xfId="14" applyFont="1" applyBorder="1" applyAlignment="1" applyProtection="1">
      <alignment horizontal="center"/>
    </xf>
    <xf numFmtId="0" fontId="12" fillId="11" borderId="0" xfId="7" applyBorder="1" applyAlignment="1">
      <alignment horizontal="left" vertical="center"/>
      <protection hidden="1"/>
    </xf>
    <xf numFmtId="0" fontId="75" fillId="11" borderId="0" xfId="7" applyFont="1" applyBorder="1" applyAlignment="1">
      <alignment horizontal="left" vertical="center"/>
      <protection hidden="1"/>
    </xf>
    <xf numFmtId="0" fontId="75" fillId="11" borderId="1" xfId="7" applyFont="1" applyBorder="1" applyAlignment="1">
      <alignment horizontal="left" vertical="center"/>
      <protection hidden="1"/>
    </xf>
    <xf numFmtId="0" fontId="75" fillId="11" borderId="2" xfId="7" applyFont="1" applyBorder="1" applyAlignment="1">
      <alignment horizontal="left" vertical="center"/>
      <protection hidden="1"/>
    </xf>
    <xf numFmtId="0" fontId="75" fillId="11" borderId="3" xfId="7" applyFont="1" applyBorder="1" applyAlignment="1">
      <alignment horizontal="left" vertical="center"/>
      <protection hidden="1"/>
    </xf>
    <xf numFmtId="0" fontId="75" fillId="11" borderId="4" xfId="7" applyFont="1" applyBorder="1" applyAlignment="1">
      <alignment horizontal="left" vertical="center"/>
      <protection hidden="1"/>
    </xf>
    <xf numFmtId="0" fontId="75" fillId="11" borderId="23" xfId="7" applyFont="1" applyBorder="1" applyAlignment="1">
      <alignment horizontal="left" vertical="center"/>
      <protection hidden="1"/>
    </xf>
    <xf numFmtId="0" fontId="75" fillId="11" borderId="5" xfId="7" applyFont="1" applyBorder="1" applyAlignment="1">
      <alignment horizontal="left" vertical="center"/>
      <protection hidden="1"/>
    </xf>
    <xf numFmtId="0" fontId="75" fillId="11" borderId="31" xfId="7" applyFont="1" applyBorder="1" applyAlignment="1">
      <alignment horizontal="left" vertical="center"/>
      <protection hidden="1"/>
    </xf>
    <xf numFmtId="0" fontId="75" fillId="11" borderId="30" xfId="7" applyFont="1" applyBorder="1" applyAlignment="1">
      <alignment horizontal="left" vertical="center"/>
      <protection hidden="1"/>
    </xf>
    <xf numFmtId="0" fontId="12" fillId="11" borderId="0" xfId="7" applyFont="1" applyBorder="1" applyAlignment="1">
      <alignment horizontal="left" vertical="center"/>
      <protection hidden="1"/>
    </xf>
    <xf numFmtId="0" fontId="0" fillId="0" borderId="0" xfId="0" applyAlignment="1" applyProtection="1">
      <alignment horizontal="left"/>
    </xf>
    <xf numFmtId="0" fontId="2" fillId="0" borderId="1" xfId="0" applyFont="1" applyBorder="1" applyProtection="1">
      <protection locked="0"/>
    </xf>
    <xf numFmtId="0" fontId="65" fillId="15" borderId="4" xfId="14" applyFont="1" applyBorder="1" applyProtection="1"/>
    <xf numFmtId="0" fontId="32" fillId="15" borderId="19" xfId="14" applyFont="1" applyBorder="1" applyAlignment="1" applyProtection="1">
      <alignment horizontal="center"/>
    </xf>
  </cellXfs>
  <cellStyles count="24">
    <cellStyle name="20% - Accent6" xfId="19" builtinId="50"/>
    <cellStyle name="Accent1" xfId="21" builtinId="29"/>
    <cellStyle name="Accent2" xfId="16" builtinId="33"/>
    <cellStyle name="Accent5" xfId="20" builtinId="45"/>
    <cellStyle name="Accent6" xfId="22" builtinId="49"/>
    <cellStyle name="ans % bl" xfId="8"/>
    <cellStyle name="ans lb brd 2 2 2" xfId="15"/>
    <cellStyle name="ans wh no bd" xfId="13"/>
    <cellStyle name="ans wh no bd 2" xfId="10"/>
    <cellStyle name="ans wh no bd 3" xfId="12"/>
    <cellStyle name="Bd Lt Just Ar 10" xfId="9"/>
    <cellStyle name="brt yel bld label" xfId="4"/>
    <cellStyle name="Comma" xfId="17" builtinId="3"/>
    <cellStyle name="ctr just no bd" xfId="3"/>
    <cellStyle name="Gn NB lg F" xfId="5"/>
    <cellStyle name="Heading 1" xfId="2" builtinId="16"/>
    <cellStyle name="Hyperlink" xfId="23" builtinId="8"/>
    <cellStyle name="no bd ctr" xfId="11"/>
    <cellStyle name="no bdr" xfId="7"/>
    <cellStyle name="Normal" xfId="0" builtinId="0"/>
    <cellStyle name="Percent" xfId="1" builtinId="5"/>
    <cellStyle name="Title" xfId="18" builtinId="15"/>
    <cellStyle name="Video Blue" xfId="14"/>
    <cellStyle name="whit bld tx left jus" xfId="6"/>
  </cellStyles>
  <dxfs count="2">
    <dxf>
      <font>
        <b val="0"/>
        <i/>
        <strike/>
        <condense val="0"/>
        <extend val="0"/>
        <color auto="1"/>
      </font>
      <fill>
        <patternFill patternType="gray0625">
          <bgColor indexed="8"/>
        </patternFill>
      </fill>
    </dxf>
    <dxf>
      <font>
        <b val="0"/>
        <i/>
        <strike/>
        <condense val="0"/>
        <extend val="0"/>
        <color auto="1"/>
      </font>
      <fill>
        <patternFill patternType="gray0625">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42</xdr:row>
      <xdr:rowOff>83820</xdr:rowOff>
    </xdr:from>
    <xdr:to>
      <xdr:col>4</xdr:col>
      <xdr:colOff>206190</xdr:colOff>
      <xdr:row>55</xdr:row>
      <xdr:rowOff>68797</xdr:rowOff>
    </xdr:to>
    <xdr:pic>
      <xdr:nvPicPr>
        <xdr:cNvPr id="2" name="Picture 1"/>
        <xdr:cNvPicPr>
          <a:picLocks noChangeAspect="1"/>
        </xdr:cNvPicPr>
      </xdr:nvPicPr>
      <xdr:blipFill>
        <a:blip xmlns:r="http://schemas.openxmlformats.org/officeDocument/2006/relationships" r:embed="rId1"/>
        <a:stretch>
          <a:fillRect/>
        </a:stretch>
      </xdr:blipFill>
      <xdr:spPr>
        <a:xfrm>
          <a:off x="495300" y="10203180"/>
          <a:ext cx="5197290" cy="2499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428625</xdr:colOff>
      <xdr:row>4</xdr:row>
      <xdr:rowOff>171450</xdr:rowOff>
    </xdr:from>
    <xdr:to>
      <xdr:col>13</xdr:col>
      <xdr:colOff>648034</xdr:colOff>
      <xdr:row>17</xdr:row>
      <xdr:rowOff>19050</xdr:rowOff>
    </xdr:to>
    <xdr:pic>
      <xdr:nvPicPr>
        <xdr:cNvPr id="3" name="Picture 2" descr="A graph with numbers and a line&#10;&#10;Description automatically generated"/>
        <xdr:cNvPicPr/>
      </xdr:nvPicPr>
      <xdr:blipFill>
        <a:blip xmlns:r="http://schemas.openxmlformats.org/officeDocument/2006/relationships" r:embed="rId1"/>
        <a:stretch>
          <a:fillRect/>
        </a:stretch>
      </xdr:blipFill>
      <xdr:spPr>
        <a:xfrm>
          <a:off x="13896975" y="1057275"/>
          <a:ext cx="4410409" cy="2990850"/>
        </a:xfrm>
        <a:prstGeom prst="rect">
          <a:avLst/>
        </a:prstGeom>
      </xdr:spPr>
    </xdr:pic>
    <xdr:clientData/>
  </xdr:twoCellAnchor>
  <xdr:twoCellAnchor editAs="oneCell">
    <xdr:from>
      <xdr:col>9</xdr:col>
      <xdr:colOff>1038224</xdr:colOff>
      <xdr:row>19</xdr:row>
      <xdr:rowOff>9524</xdr:rowOff>
    </xdr:from>
    <xdr:to>
      <xdr:col>13</xdr:col>
      <xdr:colOff>975447</xdr:colOff>
      <xdr:row>30</xdr:row>
      <xdr:rowOff>114299</xdr:rowOff>
    </xdr:to>
    <xdr:pic>
      <xdr:nvPicPr>
        <xdr:cNvPr id="4" name="Picture 3"/>
        <xdr:cNvPicPr>
          <a:picLocks noChangeAspect="1"/>
        </xdr:cNvPicPr>
      </xdr:nvPicPr>
      <xdr:blipFill>
        <a:blip xmlns:r="http://schemas.openxmlformats.org/officeDocument/2006/relationships" r:embed="rId2"/>
        <a:stretch>
          <a:fillRect/>
        </a:stretch>
      </xdr:blipFill>
      <xdr:spPr>
        <a:xfrm>
          <a:off x="14506574" y="4505324"/>
          <a:ext cx="4128223" cy="2543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Z40"/>
  <sheetViews>
    <sheetView topLeftCell="A7" workbookViewId="0">
      <selection activeCell="E29" sqref="E29"/>
    </sheetView>
  </sheetViews>
  <sheetFormatPr defaultRowHeight="14.4" x14ac:dyDescent="0.3"/>
  <cols>
    <col min="14" max="14" width="24.77734375" customWidth="1"/>
  </cols>
  <sheetData>
    <row r="1" spans="4:19" ht="15" thickBot="1" x14ac:dyDescent="0.35">
      <c r="D1" t="s">
        <v>288</v>
      </c>
    </row>
    <row r="2" spans="4:19" ht="29.4" thickBot="1" x14ac:dyDescent="0.6">
      <c r="D2" s="295" t="s">
        <v>286</v>
      </c>
      <c r="E2" s="296"/>
      <c r="F2" s="296"/>
      <c r="G2" s="296"/>
      <c r="H2" s="296"/>
      <c r="I2" s="296"/>
      <c r="J2" s="296"/>
      <c r="K2" s="296"/>
      <c r="L2" s="297"/>
      <c r="M2" s="297"/>
      <c r="N2" s="55"/>
    </row>
    <row r="3" spans="4:19" ht="21" x14ac:dyDescent="0.3">
      <c r="D3" s="349" t="s">
        <v>275</v>
      </c>
      <c r="E3" s="350"/>
      <c r="F3" s="350"/>
      <c r="G3" s="350"/>
      <c r="H3" s="350"/>
      <c r="I3" s="350"/>
      <c r="J3" s="350"/>
      <c r="K3" s="350"/>
      <c r="L3" s="350"/>
      <c r="M3" s="350"/>
      <c r="N3" s="351"/>
    </row>
    <row r="4" spans="4:19" ht="21" x14ac:dyDescent="0.3">
      <c r="D4" s="352" t="s">
        <v>276</v>
      </c>
      <c r="E4" s="348"/>
      <c r="F4" s="348"/>
      <c r="G4" s="348"/>
      <c r="H4" s="348"/>
      <c r="I4" s="348"/>
      <c r="J4" s="348"/>
      <c r="K4" s="348"/>
      <c r="L4" s="348"/>
      <c r="M4" s="348"/>
      <c r="N4" s="353"/>
    </row>
    <row r="5" spans="4:19" ht="21" x14ac:dyDescent="0.3">
      <c r="D5" s="352" t="s">
        <v>277</v>
      </c>
      <c r="E5" s="348"/>
      <c r="F5" s="348"/>
      <c r="G5" s="348"/>
      <c r="H5" s="348"/>
      <c r="I5" s="348"/>
      <c r="J5" s="348"/>
      <c r="K5" s="348"/>
      <c r="L5" s="348"/>
      <c r="M5" s="348"/>
      <c r="N5" s="353"/>
    </row>
    <row r="6" spans="4:19" ht="21" x14ac:dyDescent="0.3">
      <c r="D6" s="352" t="s">
        <v>282</v>
      </c>
      <c r="E6" s="348"/>
      <c r="F6" s="348"/>
      <c r="G6" s="348"/>
      <c r="H6" s="348"/>
      <c r="I6" s="348"/>
      <c r="J6" s="348"/>
      <c r="K6" s="348"/>
      <c r="L6" s="348"/>
      <c r="M6" s="348"/>
      <c r="N6" s="353"/>
    </row>
    <row r="7" spans="4:19" ht="21.6" thickBot="1" x14ac:dyDescent="0.35">
      <c r="D7" s="354" t="s">
        <v>283</v>
      </c>
      <c r="E7" s="355"/>
      <c r="F7" s="355"/>
      <c r="G7" s="355"/>
      <c r="H7" s="355"/>
      <c r="I7" s="355"/>
      <c r="J7" s="355"/>
      <c r="K7" s="355"/>
      <c r="L7" s="355"/>
      <c r="M7" s="355"/>
      <c r="N7" s="356"/>
    </row>
    <row r="9" spans="4:19" ht="21" x14ac:dyDescent="0.4">
      <c r="D9" s="254" t="s">
        <v>206</v>
      </c>
      <c r="E9" s="254"/>
      <c r="F9" s="254"/>
      <c r="G9" s="254"/>
      <c r="H9" s="254"/>
      <c r="I9" s="254"/>
    </row>
    <row r="11" spans="4:19" ht="23.4" x14ac:dyDescent="0.3">
      <c r="D11" s="292" t="s">
        <v>207</v>
      </c>
      <c r="E11" s="291"/>
    </row>
    <row r="12" spans="4:19" ht="28.8" x14ac:dyDescent="0.55000000000000004">
      <c r="D12" s="280" t="s">
        <v>213</v>
      </c>
      <c r="E12" s="278"/>
      <c r="F12" s="278"/>
      <c r="G12" s="278"/>
      <c r="H12" s="278"/>
      <c r="I12" s="278"/>
      <c r="J12" s="278"/>
      <c r="K12" s="279"/>
      <c r="L12" s="279"/>
      <c r="M12" s="279"/>
      <c r="N12" s="279"/>
      <c r="O12" s="279"/>
      <c r="P12" s="279"/>
      <c r="Q12" s="279"/>
      <c r="R12" s="279"/>
      <c r="S12" s="279"/>
    </row>
    <row r="13" spans="4:19" x14ac:dyDescent="0.3">
      <c r="D13" t="s">
        <v>208</v>
      </c>
    </row>
    <row r="14" spans="4:19" x14ac:dyDescent="0.3">
      <c r="D14" t="s">
        <v>211</v>
      </c>
    </row>
    <row r="16" spans="4:19" ht="23.4" x14ac:dyDescent="0.3">
      <c r="D16" s="292" t="s">
        <v>209</v>
      </c>
      <c r="E16" s="292"/>
    </row>
    <row r="17" spans="4:26" ht="28.8" x14ac:dyDescent="0.55000000000000004">
      <c r="D17" s="280" t="s">
        <v>214</v>
      </c>
      <c r="E17" s="279"/>
      <c r="F17" s="279"/>
      <c r="G17" s="279"/>
      <c r="H17" s="279"/>
      <c r="I17" s="279"/>
      <c r="J17" s="279"/>
      <c r="K17" s="279"/>
      <c r="L17" s="279"/>
      <c r="M17" s="279"/>
      <c r="N17" s="279"/>
      <c r="O17" s="279"/>
      <c r="P17" s="279"/>
      <c r="Q17" s="279"/>
      <c r="R17" s="279"/>
      <c r="S17" s="279"/>
      <c r="T17" s="279"/>
      <c r="U17" s="279"/>
      <c r="V17" s="279"/>
      <c r="W17" s="279"/>
      <c r="X17" s="279"/>
      <c r="Y17" s="279"/>
      <c r="Z17" s="279"/>
    </row>
    <row r="18" spans="4:26" x14ac:dyDescent="0.3">
      <c r="D18" t="s">
        <v>210</v>
      </c>
    </row>
    <row r="19" spans="4:26" x14ac:dyDescent="0.3">
      <c r="D19" t="s">
        <v>227</v>
      </c>
    </row>
    <row r="20" spans="4:26" x14ac:dyDescent="0.3">
      <c r="D20" t="s">
        <v>278</v>
      </c>
    </row>
    <row r="22" spans="4:26" ht="23.4" x14ac:dyDescent="0.3">
      <c r="D22" s="292" t="s">
        <v>212</v>
      </c>
      <c r="E22" s="291"/>
    </row>
    <row r="23" spans="4:26" ht="25.8" x14ac:dyDescent="0.5">
      <c r="D23" s="282" t="s">
        <v>279</v>
      </c>
      <c r="E23" s="282"/>
      <c r="F23" s="282"/>
      <c r="G23" s="282"/>
      <c r="H23" s="282"/>
      <c r="I23" s="282"/>
      <c r="J23" s="282"/>
      <c r="K23" s="282"/>
      <c r="L23" s="282"/>
      <c r="M23" s="282"/>
      <c r="N23" s="282"/>
      <c r="O23" s="282"/>
      <c r="P23" s="282"/>
      <c r="Q23" s="282"/>
      <c r="R23" s="282"/>
      <c r="S23" s="282"/>
      <c r="T23" s="282"/>
      <c r="U23" s="282"/>
      <c r="V23" s="282"/>
      <c r="W23" s="281"/>
    </row>
    <row r="24" spans="4:26" ht="23.4" x14ac:dyDescent="0.45">
      <c r="D24" s="285" t="s">
        <v>215</v>
      </c>
      <c r="E24" s="284"/>
      <c r="F24" s="284"/>
      <c r="G24" s="284"/>
      <c r="H24" s="284"/>
      <c r="I24" s="284"/>
      <c r="J24" s="284"/>
      <c r="K24" s="284"/>
      <c r="L24" s="284"/>
      <c r="M24" s="279"/>
      <c r="N24" s="279"/>
      <c r="O24" s="279"/>
      <c r="P24" s="279"/>
      <c r="Q24" s="279"/>
      <c r="R24" s="279"/>
    </row>
    <row r="25" spans="4:26" x14ac:dyDescent="0.3">
      <c r="D25" t="s">
        <v>280</v>
      </c>
    </row>
    <row r="26" spans="4:26" x14ac:dyDescent="0.3">
      <c r="D26" t="s">
        <v>290</v>
      </c>
    </row>
    <row r="27" spans="4:26" x14ac:dyDescent="0.3">
      <c r="D27" t="s">
        <v>281</v>
      </c>
    </row>
    <row r="29" spans="4:26" ht="23.4" x14ac:dyDescent="0.35">
      <c r="D29" s="292" t="s">
        <v>266</v>
      </c>
      <c r="E29" s="345"/>
      <c r="F29" s="298"/>
    </row>
    <row r="30" spans="4:26" ht="25.8" x14ac:dyDescent="0.5">
      <c r="D30" s="282" t="s">
        <v>289</v>
      </c>
      <c r="E30" s="282"/>
      <c r="F30" s="282"/>
      <c r="G30" s="282"/>
      <c r="H30" s="282"/>
      <c r="I30" s="282"/>
      <c r="J30" s="282"/>
      <c r="K30" s="282"/>
      <c r="L30" s="282"/>
      <c r="M30" s="282"/>
      <c r="N30" s="282"/>
      <c r="O30" s="282"/>
      <c r="P30" s="282"/>
      <c r="Q30" s="282"/>
      <c r="R30" s="282"/>
      <c r="S30" s="282"/>
      <c r="T30" s="282"/>
    </row>
    <row r="31" spans="4:26" ht="25.8" x14ac:dyDescent="0.5">
      <c r="D31" s="285" t="s">
        <v>273</v>
      </c>
      <c r="E31" s="284"/>
      <c r="F31" s="284"/>
      <c r="G31" s="284"/>
      <c r="H31" s="284"/>
      <c r="I31" s="284"/>
      <c r="J31" s="284"/>
      <c r="K31" s="284"/>
      <c r="L31" s="284"/>
      <c r="M31" s="279"/>
      <c r="N31" s="279"/>
      <c r="O31" s="279"/>
      <c r="P31" s="279"/>
      <c r="Q31" s="279"/>
      <c r="R31" s="279"/>
      <c r="S31" s="282"/>
      <c r="T31" s="282"/>
      <c r="U31" s="282"/>
      <c r="V31" s="282"/>
      <c r="W31" s="282"/>
      <c r="X31" s="282"/>
      <c r="Y31" s="282"/>
      <c r="Z31" s="282"/>
    </row>
    <row r="32" spans="4:26" ht="15.6" x14ac:dyDescent="0.3">
      <c r="D32" t="s">
        <v>274</v>
      </c>
      <c r="U32" s="286"/>
      <c r="V32" s="286"/>
      <c r="W32" s="286"/>
      <c r="X32" s="286"/>
    </row>
    <row r="33" spans="4:24" ht="15.6" x14ac:dyDescent="0.3">
      <c r="D33" t="s">
        <v>285</v>
      </c>
      <c r="U33" s="286"/>
      <c r="V33" s="286"/>
      <c r="W33" s="286"/>
      <c r="X33" s="286"/>
    </row>
    <row r="37" spans="4:24" ht="15.6" x14ac:dyDescent="0.3">
      <c r="D37" s="283" t="s">
        <v>216</v>
      </c>
    </row>
    <row r="38" spans="4:24" ht="15.6" x14ac:dyDescent="0.3">
      <c r="D38" s="286" t="s">
        <v>202</v>
      </c>
    </row>
    <row r="39" spans="4:24" ht="15.6" x14ac:dyDescent="0.3">
      <c r="D39" s="286" t="s">
        <v>203</v>
      </c>
    </row>
    <row r="40" spans="4:24" ht="15.6" x14ac:dyDescent="0.3">
      <c r="D40" s="287" t="s">
        <v>217</v>
      </c>
    </row>
  </sheetData>
  <hyperlinks>
    <hyperlink ref="D11:E11" location="'1-UHI Reflec'!A1" display="Calculator 1"/>
    <hyperlink ref="D16:E16" location="'2-ASG'!A1" display="Calculator 2"/>
    <hyperlink ref="D22:E22" location="'3-GMEEB'!A1" display="Calculator 3"/>
    <hyperlink ref="D29:E29" location="'4-GW Urbanization'!A1" display="Calculator 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80"/>
  <sheetViews>
    <sheetView zoomScale="90" zoomScaleNormal="90" workbookViewId="0">
      <selection activeCell="K17" sqref="K17"/>
    </sheetView>
  </sheetViews>
  <sheetFormatPr defaultRowHeight="14.4" x14ac:dyDescent="0.3"/>
  <cols>
    <col min="2" max="2" width="42" customWidth="1"/>
    <col min="3" max="3" width="15.21875" customWidth="1"/>
    <col min="4" max="4" width="13.88671875" customWidth="1"/>
    <col min="5" max="5" width="21.77734375" customWidth="1"/>
    <col min="6" max="6" width="31.6640625" customWidth="1"/>
    <col min="7" max="7" width="48.109375" customWidth="1"/>
    <col min="9" max="9" width="24.5546875" customWidth="1"/>
    <col min="11" max="11" width="18.109375" customWidth="1"/>
  </cols>
  <sheetData>
    <row r="1" spans="2:19" ht="21" x14ac:dyDescent="0.4">
      <c r="B1" s="254" t="s">
        <v>228</v>
      </c>
      <c r="C1" s="266"/>
    </row>
    <row r="2" spans="2:19" x14ac:dyDescent="0.3">
      <c r="B2" s="255" t="s">
        <v>186</v>
      </c>
    </row>
    <row r="3" spans="2:19" x14ac:dyDescent="0.3">
      <c r="B3" t="s">
        <v>202</v>
      </c>
    </row>
    <row r="4" spans="2:19" x14ac:dyDescent="0.3">
      <c r="B4" t="s">
        <v>203</v>
      </c>
      <c r="C4" s="88"/>
    </row>
    <row r="5" spans="2:19" x14ac:dyDescent="0.3">
      <c r="B5" t="s">
        <v>62</v>
      </c>
      <c r="C5" s="88"/>
    </row>
    <row r="6" spans="2:19" x14ac:dyDescent="0.3">
      <c r="B6" s="88"/>
    </row>
    <row r="7" spans="2:19" x14ac:dyDescent="0.3">
      <c r="B7" s="88" t="s">
        <v>101</v>
      </c>
    </row>
    <row r="8" spans="2:19" ht="15" thickBot="1" x14ac:dyDescent="0.35"/>
    <row r="9" spans="2:19" ht="21.6" thickBot="1" x14ac:dyDescent="0.45">
      <c r="B9" s="271" t="s">
        <v>195</v>
      </c>
      <c r="C9" s="88"/>
      <c r="D9" s="88"/>
      <c r="E9" s="88"/>
    </row>
    <row r="10" spans="2:19" ht="18.600000000000001" thickBot="1" x14ac:dyDescent="0.4">
      <c r="B10" s="116" t="s">
        <v>170</v>
      </c>
      <c r="C10" s="117"/>
      <c r="D10" s="117"/>
      <c r="E10" s="135" t="s">
        <v>100</v>
      </c>
      <c r="F10" s="136" t="s">
        <v>164</v>
      </c>
      <c r="G10" s="136" t="s">
        <v>196</v>
      </c>
      <c r="I10" s="359" t="s">
        <v>287</v>
      </c>
      <c r="J10" s="168"/>
      <c r="K10" s="168"/>
      <c r="L10" s="168"/>
      <c r="M10" s="168"/>
      <c r="N10" s="168"/>
      <c r="O10" s="168"/>
      <c r="P10" s="168"/>
      <c r="Q10" s="168"/>
      <c r="R10" s="168"/>
      <c r="S10" s="169"/>
    </row>
    <row r="11" spans="2:19" ht="21" x14ac:dyDescent="0.4">
      <c r="B11" s="125" t="s">
        <v>31</v>
      </c>
      <c r="C11" s="244" t="s">
        <v>35</v>
      </c>
      <c r="D11" s="245" t="s">
        <v>28</v>
      </c>
      <c r="E11" s="241" t="s">
        <v>55</v>
      </c>
      <c r="F11" s="223" t="s">
        <v>166</v>
      </c>
      <c r="G11" s="238" t="s">
        <v>172</v>
      </c>
      <c r="I11" s="170"/>
      <c r="J11" s="171"/>
      <c r="K11" s="171"/>
      <c r="L11" s="171"/>
      <c r="M11" s="171"/>
      <c r="N11" s="171"/>
      <c r="O11" s="171"/>
      <c r="P11" s="171"/>
      <c r="Q11" s="171"/>
      <c r="R11" s="171"/>
      <c r="S11" s="172"/>
    </row>
    <row r="12" spans="2:19" ht="21.6" thickBot="1" x14ac:dyDescent="0.5">
      <c r="B12" s="233" t="s">
        <v>156</v>
      </c>
      <c r="C12" s="231" t="s">
        <v>155</v>
      </c>
      <c r="D12" s="246">
        <v>340.25</v>
      </c>
      <c r="E12" s="242">
        <v>340.25</v>
      </c>
      <c r="F12" s="137" t="s">
        <v>168</v>
      </c>
      <c r="G12" s="239">
        <f>(((F13/0.00000005670367)+(273.15+D18)^4)^0.25)-273.15-D18</f>
        <v>-10.767730973261962</v>
      </c>
      <c r="I12" s="170"/>
      <c r="J12" s="171"/>
      <c r="K12" s="171"/>
      <c r="L12" s="171"/>
      <c r="M12" s="171"/>
      <c r="N12" s="171"/>
      <c r="O12" s="171"/>
      <c r="P12" s="171"/>
      <c r="Q12" s="171"/>
      <c r="R12" s="171"/>
      <c r="S12" s="172"/>
    </row>
    <row r="13" spans="2:19" ht="22.2" thickBot="1" x14ac:dyDescent="0.5">
      <c r="B13" s="234" t="s">
        <v>188</v>
      </c>
      <c r="C13" s="119" t="s">
        <v>157</v>
      </c>
      <c r="D13" s="247">
        <v>1300</v>
      </c>
      <c r="E13" s="242" t="s">
        <v>192</v>
      </c>
      <c r="F13" s="224">
        <f>D12*(D14/D13*D17*(D15-D16))*D20</f>
        <v>-61.306244999999997</v>
      </c>
      <c r="G13" s="238" t="s">
        <v>184</v>
      </c>
      <c r="I13" s="170"/>
      <c r="J13" s="171"/>
      <c r="K13" s="171"/>
      <c r="L13" s="171"/>
      <c r="M13" s="171"/>
      <c r="N13" s="171"/>
      <c r="O13" s="171"/>
      <c r="P13" s="171"/>
      <c r="Q13" s="171"/>
      <c r="R13" s="171"/>
      <c r="S13" s="172"/>
    </row>
    <row r="14" spans="2:19" ht="21" thickBot="1" x14ac:dyDescent="0.5">
      <c r="B14" s="234" t="s">
        <v>187</v>
      </c>
      <c r="C14" s="119" t="s">
        <v>158</v>
      </c>
      <c r="D14" s="247">
        <f>0.65*D13</f>
        <v>845</v>
      </c>
      <c r="E14" s="242" t="s">
        <v>192</v>
      </c>
      <c r="F14" s="223" t="s">
        <v>173</v>
      </c>
      <c r="G14" s="239">
        <f>((G12+D18)*(9/5)+32)-((D18)*(9/5)+32)</f>
        <v>-19.381915751871531</v>
      </c>
      <c r="I14" s="170"/>
      <c r="J14" s="171"/>
      <c r="K14" s="171"/>
      <c r="L14" s="171"/>
      <c r="M14" s="171"/>
      <c r="N14" s="171"/>
      <c r="O14" s="171"/>
      <c r="P14" s="171"/>
      <c r="Q14" s="171"/>
      <c r="R14" s="171"/>
      <c r="S14" s="172"/>
    </row>
    <row r="15" spans="2:19" ht="21.6" thickBot="1" x14ac:dyDescent="0.5">
      <c r="B15" s="234" t="s">
        <v>159</v>
      </c>
      <c r="C15" s="248" t="s">
        <v>163</v>
      </c>
      <c r="D15" s="246">
        <v>7.0000000000000007E-2</v>
      </c>
      <c r="E15" s="242" t="s">
        <v>194</v>
      </c>
      <c r="F15" s="137" t="s">
        <v>168</v>
      </c>
      <c r="G15" s="136" t="s">
        <v>197</v>
      </c>
      <c r="I15" s="170"/>
      <c r="J15" s="171"/>
      <c r="K15" s="171"/>
      <c r="L15" s="171"/>
      <c r="M15" s="171"/>
      <c r="N15" s="171"/>
      <c r="O15" s="171"/>
      <c r="P15" s="171"/>
      <c r="Q15" s="171"/>
      <c r="R15" s="171"/>
      <c r="S15" s="172"/>
    </row>
    <row r="16" spans="2:19" ht="27" thickBot="1" x14ac:dyDescent="0.5">
      <c r="B16" s="234" t="s">
        <v>204</v>
      </c>
      <c r="C16" s="275" t="s">
        <v>205</v>
      </c>
      <c r="D16" s="246">
        <v>0.4</v>
      </c>
      <c r="E16" s="242">
        <v>0.5</v>
      </c>
      <c r="F16" s="240">
        <f>0.00000005670367*((273.16+D18+G12)^4-(273.16+D18)^4)</f>
        <v>-61.312525902823481</v>
      </c>
      <c r="G16" s="272" t="s">
        <v>223</v>
      </c>
      <c r="I16" s="170"/>
      <c r="J16" s="171"/>
      <c r="K16" s="171"/>
      <c r="L16" s="171"/>
      <c r="M16" s="171"/>
      <c r="N16" s="171"/>
      <c r="O16" s="171"/>
      <c r="P16" s="171"/>
      <c r="Q16" s="171"/>
      <c r="R16" s="171"/>
      <c r="S16" s="172"/>
    </row>
    <row r="17" spans="2:19" ht="21.6" thickBot="1" x14ac:dyDescent="0.5">
      <c r="B17" s="235" t="s">
        <v>160</v>
      </c>
      <c r="C17" s="120" t="s">
        <v>161</v>
      </c>
      <c r="D17" s="246">
        <v>0.7</v>
      </c>
      <c r="E17" s="243">
        <v>0.47</v>
      </c>
      <c r="G17" s="274">
        <f>G12*D19/100</f>
        <v>-2.6919327433154905</v>
      </c>
      <c r="I17" s="170"/>
      <c r="J17" s="171"/>
      <c r="K17" s="171"/>
      <c r="L17" s="171"/>
      <c r="M17" s="171"/>
      <c r="N17" s="171"/>
      <c r="O17" s="171"/>
      <c r="P17" s="171"/>
      <c r="Q17" s="171"/>
      <c r="R17" s="171"/>
      <c r="S17" s="172"/>
    </row>
    <row r="18" spans="2:19" ht="27" thickBot="1" x14ac:dyDescent="0.5">
      <c r="B18" s="236" t="s">
        <v>189</v>
      </c>
      <c r="C18" s="120" t="s">
        <v>165</v>
      </c>
      <c r="D18" s="246">
        <v>25</v>
      </c>
      <c r="E18" s="243">
        <v>25</v>
      </c>
      <c r="G18" s="272" t="s">
        <v>224</v>
      </c>
      <c r="I18" s="170"/>
      <c r="J18" s="171"/>
      <c r="K18" s="171"/>
      <c r="L18" s="171"/>
      <c r="M18" s="171"/>
      <c r="N18" s="171"/>
      <c r="O18" s="171"/>
      <c r="P18" s="171"/>
      <c r="Q18" s="171"/>
      <c r="R18" s="171"/>
      <c r="S18" s="172"/>
    </row>
    <row r="19" spans="2:19" ht="18.600000000000001" thickBot="1" x14ac:dyDescent="0.4">
      <c r="B19" s="236" t="s">
        <v>185</v>
      </c>
      <c r="C19" s="249"/>
      <c r="D19" s="250">
        <v>25</v>
      </c>
      <c r="E19" s="243" t="s">
        <v>190</v>
      </c>
      <c r="G19" s="273">
        <f>G14*D19/100</f>
        <v>-4.8454789379678829</v>
      </c>
      <c r="I19" s="170"/>
      <c r="J19" s="171"/>
      <c r="K19" s="171"/>
      <c r="L19" s="171"/>
      <c r="M19" s="171"/>
      <c r="N19" s="171"/>
      <c r="O19" s="171"/>
      <c r="P19" s="171"/>
      <c r="Q19" s="171"/>
      <c r="R19" s="171"/>
      <c r="S19" s="172"/>
    </row>
    <row r="20" spans="2:19" ht="18.600000000000001" thickBot="1" x14ac:dyDescent="0.4">
      <c r="B20" s="251" t="s">
        <v>198</v>
      </c>
      <c r="C20" s="252" t="s">
        <v>78</v>
      </c>
      <c r="D20" s="253">
        <v>1.2</v>
      </c>
      <c r="E20" s="243" t="s">
        <v>191</v>
      </c>
      <c r="I20" s="170"/>
      <c r="J20" s="171"/>
      <c r="K20" s="171"/>
      <c r="L20" s="171"/>
      <c r="M20" s="171"/>
      <c r="N20" s="171"/>
      <c r="O20" s="171"/>
      <c r="P20" s="171"/>
      <c r="Q20" s="171"/>
      <c r="R20" s="171"/>
      <c r="S20" s="172"/>
    </row>
    <row r="21" spans="2:19" ht="21" x14ac:dyDescent="0.4">
      <c r="B21" s="256" t="s">
        <v>193</v>
      </c>
      <c r="F21" s="227" t="s">
        <v>167</v>
      </c>
      <c r="G21" s="225" t="s">
        <v>174</v>
      </c>
      <c r="I21" s="170"/>
      <c r="J21" s="171"/>
      <c r="K21" s="171"/>
      <c r="L21" s="171"/>
      <c r="M21" s="171"/>
      <c r="N21" s="171"/>
      <c r="O21" s="171"/>
      <c r="P21" s="171"/>
      <c r="Q21" s="171"/>
      <c r="R21" s="171"/>
      <c r="S21" s="172"/>
    </row>
    <row r="22" spans="2:19" ht="20.399999999999999" thickBot="1" x14ac:dyDescent="0.4">
      <c r="F22" s="228" t="s">
        <v>171</v>
      </c>
      <c r="G22" s="237">
        <f>(((F23/0.00000005670367)+(273.15+D18)^4)^0.25)-273.15-D18</f>
        <v>-7.5452682608556643E-5</v>
      </c>
      <c r="I22" s="170"/>
      <c r="J22" s="171"/>
      <c r="K22" s="171"/>
      <c r="L22" s="171"/>
      <c r="M22" s="171"/>
      <c r="N22" s="171"/>
      <c r="O22" s="171"/>
      <c r="P22" s="171"/>
      <c r="Q22" s="171"/>
      <c r="R22" s="171"/>
      <c r="S22" s="172"/>
    </row>
    <row r="23" spans="2:19" ht="18" x14ac:dyDescent="0.35">
      <c r="F23" s="228">
        <f>(D12*(D14/(510000000)*D17*(D15-D16)))*1.62*2.15</f>
        <v>-4.5357605675735296E-4</v>
      </c>
      <c r="G23" s="226"/>
      <c r="I23" s="170"/>
      <c r="J23" s="171"/>
      <c r="K23" s="171"/>
      <c r="L23" s="171"/>
      <c r="M23" s="171"/>
      <c r="N23" s="171"/>
      <c r="O23" s="171"/>
      <c r="P23" s="171"/>
      <c r="Q23" s="171"/>
      <c r="R23" s="171"/>
      <c r="S23" s="172"/>
    </row>
    <row r="24" spans="2:19" ht="18.600000000000001" thickBot="1" x14ac:dyDescent="0.4">
      <c r="F24" s="229"/>
      <c r="G24" s="293" t="s">
        <v>229</v>
      </c>
      <c r="I24" s="170"/>
      <c r="J24" s="171"/>
      <c r="K24" s="171"/>
      <c r="L24" s="171"/>
      <c r="M24" s="171"/>
      <c r="N24" s="171"/>
      <c r="O24" s="171"/>
      <c r="P24" s="171"/>
      <c r="Q24" s="171"/>
      <c r="R24" s="171"/>
      <c r="S24" s="172"/>
    </row>
    <row r="25" spans="2:19" ht="21" x14ac:dyDescent="0.4">
      <c r="G25" s="294">
        <f>D12*(D13*1000000)*D17*D20*(D16-D15)*24*365*1.62*2.15/1000000000</f>
        <v>3741039.4913892001</v>
      </c>
      <c r="I25" s="170"/>
      <c r="J25" s="171"/>
      <c r="K25" s="171"/>
      <c r="L25" s="171"/>
      <c r="M25" s="171"/>
      <c r="N25" s="171"/>
      <c r="O25" s="171"/>
      <c r="P25" s="171"/>
      <c r="Q25" s="171"/>
      <c r="R25" s="171"/>
      <c r="S25" s="172"/>
    </row>
    <row r="26" spans="2:19" x14ac:dyDescent="0.3">
      <c r="I26" s="170"/>
      <c r="J26" s="171"/>
      <c r="K26" s="171"/>
      <c r="L26" s="171"/>
      <c r="M26" s="171"/>
      <c r="N26" s="171"/>
      <c r="O26" s="171"/>
      <c r="P26" s="171"/>
      <c r="Q26" s="171"/>
      <c r="R26" s="171"/>
      <c r="S26" s="172"/>
    </row>
    <row r="27" spans="2:19" ht="15" thickBot="1" x14ac:dyDescent="0.35">
      <c r="I27" s="170"/>
      <c r="J27" s="171"/>
      <c r="K27" s="171"/>
      <c r="L27" s="171"/>
      <c r="M27" s="171"/>
      <c r="N27" s="171"/>
      <c r="O27" s="171"/>
      <c r="P27" s="171"/>
      <c r="Q27" s="171"/>
      <c r="R27" s="171"/>
      <c r="S27" s="172"/>
    </row>
    <row r="28" spans="2:19" ht="21.6" thickBot="1" x14ac:dyDescent="0.45">
      <c r="B28" s="268" t="s">
        <v>199</v>
      </c>
      <c r="C28" s="269"/>
      <c r="D28" s="270"/>
      <c r="E28" s="266"/>
      <c r="I28" s="170"/>
      <c r="J28" s="171"/>
      <c r="K28" s="171"/>
      <c r="L28" s="171"/>
      <c r="M28" s="171"/>
      <c r="N28" s="171"/>
      <c r="O28" s="171"/>
      <c r="P28" s="171"/>
      <c r="Q28" s="171"/>
      <c r="R28" s="171"/>
      <c r="S28" s="172"/>
    </row>
    <row r="29" spans="2:19" ht="18.600000000000001" thickBot="1" x14ac:dyDescent="0.4">
      <c r="B29" s="257" t="s">
        <v>170</v>
      </c>
      <c r="C29" s="258"/>
      <c r="D29" s="258"/>
      <c r="E29" s="135" t="s">
        <v>100</v>
      </c>
      <c r="F29" s="136" t="s">
        <v>164</v>
      </c>
      <c r="G29" s="136" t="s">
        <v>196</v>
      </c>
      <c r="I29" s="170"/>
      <c r="J29" s="171"/>
      <c r="K29" s="171"/>
      <c r="L29" s="171"/>
      <c r="M29" s="171"/>
      <c r="N29" s="171"/>
      <c r="O29" s="171"/>
      <c r="P29" s="171"/>
      <c r="Q29" s="171"/>
      <c r="R29" s="171"/>
      <c r="S29" s="172"/>
    </row>
    <row r="30" spans="2:19" ht="21" x14ac:dyDescent="0.4">
      <c r="B30" s="125" t="s">
        <v>31</v>
      </c>
      <c r="C30" s="244" t="s">
        <v>35</v>
      </c>
      <c r="D30" s="245" t="s">
        <v>28</v>
      </c>
      <c r="E30" s="241" t="s">
        <v>55</v>
      </c>
      <c r="F30" s="223" t="s">
        <v>166</v>
      </c>
      <c r="G30" s="238" t="s">
        <v>172</v>
      </c>
      <c r="I30" s="170"/>
      <c r="J30" s="171"/>
      <c r="K30" s="171"/>
      <c r="L30" s="171"/>
      <c r="M30" s="171"/>
      <c r="N30" s="171"/>
      <c r="O30" s="171"/>
      <c r="P30" s="171"/>
      <c r="Q30" s="171"/>
      <c r="R30" s="171"/>
      <c r="S30" s="172"/>
    </row>
    <row r="31" spans="2:19" ht="21.6" thickBot="1" x14ac:dyDescent="0.5">
      <c r="B31" s="233" t="s">
        <v>156</v>
      </c>
      <c r="C31" s="231" t="s">
        <v>155</v>
      </c>
      <c r="D31" s="246">
        <v>340.25</v>
      </c>
      <c r="E31" s="242">
        <v>340.25</v>
      </c>
      <c r="F31" s="137" t="s">
        <v>168</v>
      </c>
      <c r="G31" s="239">
        <f>(((F32/0.00000005670367)+(273.15+D37)^4)^0.25)-273.15-D37</f>
        <v>-5.4691276873737138</v>
      </c>
      <c r="I31" s="170"/>
      <c r="J31" s="171"/>
      <c r="K31" s="171"/>
      <c r="L31" s="171"/>
      <c r="M31" s="171"/>
      <c r="N31" s="171"/>
      <c r="O31" s="171"/>
      <c r="P31" s="171"/>
      <c r="Q31" s="171"/>
      <c r="R31" s="171"/>
      <c r="S31" s="172"/>
    </row>
    <row r="32" spans="2:19" ht="22.2" thickBot="1" x14ac:dyDescent="0.5">
      <c r="B32" s="234" t="s">
        <v>188</v>
      </c>
      <c r="C32" s="119" t="s">
        <v>157</v>
      </c>
      <c r="D32" s="247">
        <v>1300</v>
      </c>
      <c r="E32" s="242" t="s">
        <v>192</v>
      </c>
      <c r="F32" s="224">
        <f>D31*(D33/D32*D36*(D34-D35))*D39</f>
        <v>-31.983499999999996</v>
      </c>
      <c r="G32" s="238" t="s">
        <v>184</v>
      </c>
      <c r="I32" s="170"/>
      <c r="J32" s="171"/>
      <c r="K32" s="171"/>
      <c r="L32" s="171"/>
      <c r="M32" s="171"/>
      <c r="N32" s="171"/>
      <c r="O32" s="171"/>
      <c r="P32" s="171"/>
      <c r="Q32" s="171"/>
      <c r="R32" s="171"/>
      <c r="S32" s="172"/>
    </row>
    <row r="33" spans="2:19" ht="21" thickBot="1" x14ac:dyDescent="0.5">
      <c r="B33" s="234" t="s">
        <v>187</v>
      </c>
      <c r="C33" s="119" t="s">
        <v>158</v>
      </c>
      <c r="D33" s="247">
        <f>0.4*D32</f>
        <v>520</v>
      </c>
      <c r="E33" s="242" t="s">
        <v>192</v>
      </c>
      <c r="F33" s="223" t="s">
        <v>173</v>
      </c>
      <c r="G33" s="239">
        <f>((G31+D37)*(9/5)+32)-((D37)*(9/5)+32)</f>
        <v>-9.8444298372726848</v>
      </c>
      <c r="I33" s="170"/>
      <c r="J33" s="171"/>
      <c r="K33" s="171"/>
      <c r="L33" s="171"/>
      <c r="M33" s="171"/>
      <c r="N33" s="171"/>
      <c r="O33" s="171"/>
      <c r="P33" s="171"/>
      <c r="Q33" s="171"/>
      <c r="R33" s="171"/>
      <c r="S33" s="172"/>
    </row>
    <row r="34" spans="2:19" ht="21.6" thickBot="1" x14ac:dyDescent="0.5">
      <c r="B34" s="234" t="s">
        <v>159</v>
      </c>
      <c r="C34" s="248" t="s">
        <v>163</v>
      </c>
      <c r="D34" s="246">
        <v>0.1</v>
      </c>
      <c r="E34" s="242" t="s">
        <v>194</v>
      </c>
      <c r="F34" s="137" t="s">
        <v>168</v>
      </c>
      <c r="G34" s="136" t="s">
        <v>197</v>
      </c>
      <c r="I34" s="170"/>
      <c r="J34" s="171"/>
      <c r="K34" s="171"/>
      <c r="L34" s="171"/>
      <c r="M34" s="171"/>
      <c r="N34" s="171"/>
      <c r="O34" s="171"/>
      <c r="P34" s="171"/>
      <c r="Q34" s="171"/>
      <c r="R34" s="171"/>
      <c r="S34" s="172"/>
    </row>
    <row r="35" spans="2:19" ht="27" thickBot="1" x14ac:dyDescent="0.5">
      <c r="B35" s="234" t="s">
        <v>169</v>
      </c>
      <c r="C35" s="232" t="s">
        <v>162</v>
      </c>
      <c r="D35" s="246">
        <v>0.3</v>
      </c>
      <c r="E35" s="242"/>
      <c r="F35" s="240">
        <f>0.00000005670367*((273.16+D37+G31)^4-(273.16+D37)^4)</f>
        <v>-31.986747909736529</v>
      </c>
      <c r="G35" s="272" t="s">
        <v>223</v>
      </c>
      <c r="I35" s="170"/>
      <c r="J35" s="171"/>
      <c r="K35" s="171"/>
      <c r="L35" s="171"/>
      <c r="M35" s="171"/>
      <c r="N35" s="171"/>
      <c r="O35" s="171"/>
      <c r="P35" s="171"/>
      <c r="Q35" s="171"/>
      <c r="R35" s="171"/>
      <c r="S35" s="172"/>
    </row>
    <row r="36" spans="2:19" ht="21.6" thickBot="1" x14ac:dyDescent="0.5">
      <c r="B36" s="235" t="s">
        <v>160</v>
      </c>
      <c r="C36" s="120" t="s">
        <v>161</v>
      </c>
      <c r="D36" s="246">
        <v>0.47</v>
      </c>
      <c r="E36" s="243">
        <v>0.47</v>
      </c>
      <c r="G36" s="274">
        <f>G31*D38/100</f>
        <v>-1.3672819218434284</v>
      </c>
      <c r="I36" s="170"/>
      <c r="J36" s="171"/>
      <c r="K36" s="171"/>
      <c r="L36" s="171"/>
      <c r="M36" s="171"/>
      <c r="N36" s="171"/>
      <c r="O36" s="171"/>
      <c r="P36" s="171"/>
      <c r="Q36" s="171"/>
      <c r="R36" s="171"/>
      <c r="S36" s="172"/>
    </row>
    <row r="37" spans="2:19" ht="27" thickBot="1" x14ac:dyDescent="0.5">
      <c r="B37" s="236" t="s">
        <v>189</v>
      </c>
      <c r="C37" s="120" t="s">
        <v>165</v>
      </c>
      <c r="D37" s="246">
        <v>25</v>
      </c>
      <c r="E37" s="243">
        <v>25</v>
      </c>
      <c r="G37" s="272" t="s">
        <v>224</v>
      </c>
      <c r="I37" s="170"/>
      <c r="J37" s="171"/>
      <c r="K37" s="171"/>
      <c r="L37" s="171"/>
      <c r="M37" s="171"/>
      <c r="N37" s="171"/>
      <c r="O37" s="171"/>
      <c r="P37" s="171"/>
      <c r="Q37" s="171"/>
      <c r="R37" s="171"/>
      <c r="S37" s="172"/>
    </row>
    <row r="38" spans="2:19" ht="21.6" thickBot="1" x14ac:dyDescent="0.4">
      <c r="B38" s="236" t="s">
        <v>185</v>
      </c>
      <c r="C38" s="249"/>
      <c r="D38" s="250">
        <v>25</v>
      </c>
      <c r="E38" s="243" t="s">
        <v>190</v>
      </c>
      <c r="G38" s="274">
        <f>G33*D38/100</f>
        <v>-2.4611074593181712</v>
      </c>
      <c r="I38" s="173"/>
      <c r="J38" s="174"/>
      <c r="K38" s="174"/>
      <c r="L38" s="174"/>
      <c r="M38" s="174"/>
      <c r="N38" s="174"/>
      <c r="O38" s="174"/>
      <c r="P38" s="174"/>
      <c r="Q38" s="174"/>
      <c r="R38" s="174"/>
      <c r="S38" s="175"/>
    </row>
    <row r="39" spans="2:19" ht="18.600000000000001" thickBot="1" x14ac:dyDescent="0.4">
      <c r="B39" s="251" t="s">
        <v>198</v>
      </c>
      <c r="C39" s="252" t="s">
        <v>78</v>
      </c>
      <c r="D39" s="253">
        <v>2.5</v>
      </c>
      <c r="E39" s="243" t="s">
        <v>191</v>
      </c>
    </row>
    <row r="40" spans="2:19" ht="21" x14ac:dyDescent="0.4">
      <c r="B40" s="256" t="s">
        <v>193</v>
      </c>
      <c r="F40" s="227" t="s">
        <v>167</v>
      </c>
      <c r="G40" s="225" t="s">
        <v>174</v>
      </c>
    </row>
    <row r="41" spans="2:19" ht="20.399999999999999" thickBot="1" x14ac:dyDescent="0.4">
      <c r="F41" s="228" t="s">
        <v>171</v>
      </c>
      <c r="G41" s="237">
        <f>(((F42/0.00000005670367)+(273.15+D37)^4)^0.25)-273.15-D37</f>
        <v>-1.889457251991189E-5</v>
      </c>
    </row>
    <row r="42" spans="2:19" ht="18" x14ac:dyDescent="0.35">
      <c r="B42" s="267" t="s">
        <v>200</v>
      </c>
      <c r="C42" s="266"/>
      <c r="F42" s="228">
        <f>(D31*(D33/(510000000)*D36*(D34-D35)))*1.62*2.15</f>
        <v>-1.1358281541176469E-4</v>
      </c>
      <c r="G42" s="226"/>
    </row>
    <row r="43" spans="2:19" ht="18.600000000000001" thickBot="1" x14ac:dyDescent="0.4">
      <c r="F43" s="229"/>
      <c r="G43" s="293" t="s">
        <v>229</v>
      </c>
    </row>
    <row r="44" spans="2:19" ht="21" x14ac:dyDescent="0.4">
      <c r="G44" s="294">
        <f>D31*(D32*1000000)*D36*D39*(D35-D34)*24*365*1.62*2.15/1000000000</f>
        <v>3171516.1633350002</v>
      </c>
    </row>
    <row r="57" spans="2:4" x14ac:dyDescent="0.3">
      <c r="B57" s="98" t="s">
        <v>201</v>
      </c>
    </row>
    <row r="60" spans="2:4" x14ac:dyDescent="0.3">
      <c r="B60" s="230" t="s">
        <v>175</v>
      </c>
    </row>
    <row r="61" spans="2:4" ht="15.6" x14ac:dyDescent="0.3">
      <c r="B61" s="259" t="s">
        <v>61</v>
      </c>
      <c r="C61" s="260" t="s">
        <v>36</v>
      </c>
      <c r="D61" s="261">
        <v>5.6703669999999997E-8</v>
      </c>
    </row>
    <row r="62" spans="2:4" ht="20.399999999999999" x14ac:dyDescent="0.45">
      <c r="B62" s="262" t="s">
        <v>183</v>
      </c>
      <c r="C62" s="106" t="s">
        <v>158</v>
      </c>
      <c r="D62" s="263">
        <v>510000000</v>
      </c>
    </row>
    <row r="63" spans="2:4" ht="21" x14ac:dyDescent="0.45">
      <c r="B63" s="262" t="s">
        <v>176</v>
      </c>
      <c r="C63" s="264" t="s">
        <v>163</v>
      </c>
      <c r="D63" s="265" t="s">
        <v>181</v>
      </c>
    </row>
    <row r="64" spans="2:4" ht="21" x14ac:dyDescent="0.45">
      <c r="B64" s="262" t="s">
        <v>180</v>
      </c>
      <c r="C64" s="264" t="s">
        <v>163</v>
      </c>
      <c r="D64" s="265" t="s">
        <v>182</v>
      </c>
    </row>
    <row r="65" spans="2:6" ht="21" x14ac:dyDescent="0.45">
      <c r="B65" s="262" t="s">
        <v>177</v>
      </c>
      <c r="C65" s="264" t="s">
        <v>163</v>
      </c>
      <c r="D65" s="265">
        <v>0.8</v>
      </c>
    </row>
    <row r="66" spans="2:6" ht="21" x14ac:dyDescent="0.45">
      <c r="B66" s="262" t="s">
        <v>179</v>
      </c>
      <c r="C66" s="264" t="s">
        <v>163</v>
      </c>
      <c r="D66" s="265" t="s">
        <v>178</v>
      </c>
    </row>
    <row r="67" spans="2:6" ht="20.399999999999999" x14ac:dyDescent="0.45">
      <c r="B67" s="289" t="s">
        <v>218</v>
      </c>
      <c r="C67" s="106" t="s">
        <v>219</v>
      </c>
      <c r="D67" s="288">
        <v>3.2</v>
      </c>
    </row>
    <row r="68" spans="2:6" ht="20.399999999999999" x14ac:dyDescent="0.45">
      <c r="B68" s="289" t="s">
        <v>220</v>
      </c>
      <c r="C68" s="106" t="s">
        <v>219</v>
      </c>
      <c r="D68" s="288">
        <v>2.5</v>
      </c>
    </row>
    <row r="69" spans="2:6" ht="20.399999999999999" x14ac:dyDescent="0.45">
      <c r="B69" s="289" t="s">
        <v>221</v>
      </c>
      <c r="C69" s="106" t="s">
        <v>219</v>
      </c>
      <c r="D69" s="288">
        <v>1.2</v>
      </c>
    </row>
    <row r="70" spans="2:6" ht="20.399999999999999" x14ac:dyDescent="0.45">
      <c r="B70" s="289" t="s">
        <v>222</v>
      </c>
      <c r="C70" s="106" t="s">
        <v>219</v>
      </c>
      <c r="D70" s="288">
        <v>2.2000000000000002</v>
      </c>
    </row>
    <row r="72" spans="2:6" ht="15" thickBot="1" x14ac:dyDescent="0.35"/>
    <row r="73" spans="2:6" ht="20.399999999999999" thickBot="1" x14ac:dyDescent="0.35">
      <c r="B73" s="64" t="s">
        <v>56</v>
      </c>
      <c r="C73" s="65"/>
      <c r="D73" s="66"/>
      <c r="E73" s="67"/>
      <c r="F73" s="68"/>
    </row>
    <row r="74" spans="2:6" x14ac:dyDescent="0.3">
      <c r="B74" s="148" t="s">
        <v>45</v>
      </c>
      <c r="C74" s="149" t="s">
        <v>44</v>
      </c>
      <c r="D74" s="150" t="s">
        <v>46</v>
      </c>
      <c r="E74" s="149" t="s">
        <v>47</v>
      </c>
      <c r="F74" s="151" t="s">
        <v>4</v>
      </c>
    </row>
    <row r="75" spans="2:6" ht="16.2" x14ac:dyDescent="0.3">
      <c r="B75" s="152" t="s">
        <v>48</v>
      </c>
      <c r="C75" s="153">
        <v>1000</v>
      </c>
      <c r="D75" s="154" t="s">
        <v>49</v>
      </c>
      <c r="E75" s="155" t="s">
        <v>49</v>
      </c>
      <c r="F75" s="156" t="s">
        <v>49</v>
      </c>
    </row>
    <row r="76" spans="2:6" x14ac:dyDescent="0.3">
      <c r="B76" s="152" t="s">
        <v>50</v>
      </c>
      <c r="C76" s="153">
        <v>1</v>
      </c>
      <c r="D76" s="157">
        <f>(1-C77)*C76*C75</f>
        <v>600</v>
      </c>
      <c r="E76" s="158">
        <f>D76/C76</f>
        <v>600</v>
      </c>
      <c r="F76" s="159" t="str">
        <f>ROUND((E76/0.00000005670367)^0.25,4)&amp;" K"</f>
        <v>320.7266 K</v>
      </c>
    </row>
    <row r="77" spans="2:6" ht="16.2" x14ac:dyDescent="0.3">
      <c r="B77" s="152" t="s">
        <v>51</v>
      </c>
      <c r="C77" s="153">
        <v>0.4</v>
      </c>
      <c r="D77" s="154" t="s">
        <v>52</v>
      </c>
      <c r="E77" s="155" t="s">
        <v>52</v>
      </c>
      <c r="F77" s="159" t="str">
        <f>ROUND((E76/0.00000005670367)^0.25-273.15,4)&amp;" C"</f>
        <v>47.5766 C</v>
      </c>
    </row>
    <row r="78" spans="2:6" ht="16.2" x14ac:dyDescent="0.3">
      <c r="B78" s="152" t="s">
        <v>53</v>
      </c>
      <c r="C78" s="153">
        <v>1</v>
      </c>
      <c r="D78" s="157">
        <f>(1-C79)*C78*C75</f>
        <v>950</v>
      </c>
      <c r="E78" s="158">
        <f>D78/C78</f>
        <v>950</v>
      </c>
      <c r="F78" s="156" t="s">
        <v>52</v>
      </c>
    </row>
    <row r="79" spans="2:6" ht="16.8" thickBot="1" x14ac:dyDescent="0.35">
      <c r="B79" s="160" t="s">
        <v>54</v>
      </c>
      <c r="C79" s="161">
        <v>0.05</v>
      </c>
      <c r="D79" s="162"/>
      <c r="E79" s="163"/>
      <c r="F79" s="159" t="str">
        <f>ROUND((E78/0.00000005670367)^0.25,4)&amp;" K"</f>
        <v>359.7726 K</v>
      </c>
    </row>
    <row r="80" spans="2:6" ht="15" thickBot="1" x14ac:dyDescent="0.35">
      <c r="B80" s="147"/>
      <c r="C80" s="147"/>
      <c r="D80" s="164"/>
      <c r="E80" s="164"/>
      <c r="F80" s="165" t="str">
        <f>ROUND((E78/0.00000005670367)^0.25-273.15,4)&amp;" C"</f>
        <v>86.6226 C</v>
      </c>
    </row>
  </sheetData>
  <sheetProtection password="DD0B" sheet="1" objects="1" scenarios="1"/>
  <conditionalFormatting sqref="B73:F73">
    <cfRule type="expression" dxfId="1" priority="1" stopIfTrue="1">
      <formula>$M$1&lt;&gt;$N$1</formula>
    </cfRule>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8"/>
  <sheetViews>
    <sheetView tabSelected="1" zoomScale="80" zoomScaleNormal="80" workbookViewId="0">
      <selection activeCell="I13" sqref="I13"/>
    </sheetView>
  </sheetViews>
  <sheetFormatPr defaultRowHeight="14.4" x14ac:dyDescent="0.3"/>
  <cols>
    <col min="1" max="1" width="13.44140625" customWidth="1"/>
    <col min="2" max="2" width="34.33203125" customWidth="1"/>
    <col min="3" max="3" width="15.33203125" customWidth="1"/>
    <col min="4" max="4" width="15.44140625" customWidth="1"/>
    <col min="5" max="5" width="14.77734375" customWidth="1"/>
    <col min="6" max="6" width="32.6640625" customWidth="1"/>
    <col min="7" max="7" width="30.33203125" customWidth="1"/>
    <col min="8" max="8" width="25.33203125" customWidth="1"/>
    <col min="9" max="9" width="19.21875" customWidth="1"/>
    <col min="10" max="14" width="15.33203125" customWidth="1"/>
    <col min="15" max="15" width="17.21875" customWidth="1"/>
    <col min="16" max="17" width="15.33203125" customWidth="1"/>
  </cols>
  <sheetData>
    <row r="1" spans="1:11" ht="22.8" x14ac:dyDescent="0.4">
      <c r="A1" s="88"/>
      <c r="B1" s="176" t="s">
        <v>146</v>
      </c>
      <c r="C1" s="176"/>
      <c r="D1" s="176"/>
      <c r="E1" s="176"/>
      <c r="F1" s="176"/>
      <c r="G1" s="177"/>
      <c r="H1" s="177"/>
      <c r="I1" s="177"/>
      <c r="J1" s="178"/>
      <c r="K1" s="178"/>
    </row>
    <row r="2" spans="1:11" x14ac:dyDescent="0.3">
      <c r="A2" s="347" t="s">
        <v>186</v>
      </c>
      <c r="B2" s="255"/>
      <c r="C2" s="88"/>
      <c r="D2" s="88"/>
      <c r="E2" s="88"/>
      <c r="F2" s="88"/>
      <c r="G2" s="88"/>
      <c r="H2" s="88"/>
      <c r="I2" s="88"/>
      <c r="J2" s="88"/>
      <c r="K2" s="88"/>
    </row>
    <row r="3" spans="1:11" ht="18" x14ac:dyDescent="0.35">
      <c r="A3" s="358" t="s">
        <v>101</v>
      </c>
      <c r="B3" s="88"/>
      <c r="C3" s="328" t="s">
        <v>62</v>
      </c>
      <c r="D3" s="88"/>
      <c r="E3" s="88"/>
      <c r="F3" s="107"/>
      <c r="G3" s="107"/>
      <c r="H3" s="88"/>
      <c r="I3" s="88"/>
      <c r="J3" s="88"/>
      <c r="K3" s="88"/>
    </row>
    <row r="4" spans="1:11" ht="18.600000000000001" thickBot="1" x14ac:dyDescent="0.4">
      <c r="B4" s="88" t="s">
        <v>202</v>
      </c>
      <c r="D4" s="88"/>
      <c r="E4" s="88"/>
      <c r="F4" s="88"/>
      <c r="G4" s="88"/>
      <c r="H4" s="88"/>
      <c r="I4" s="88"/>
      <c r="J4" s="88"/>
      <c r="K4" s="290" t="s">
        <v>225</v>
      </c>
    </row>
    <row r="5" spans="1:11" ht="18.600000000000001" thickBot="1" x14ac:dyDescent="0.4">
      <c r="A5" s="88"/>
      <c r="B5" s="179" t="s">
        <v>103</v>
      </c>
      <c r="C5" s="88"/>
      <c r="D5" s="88"/>
      <c r="E5" s="88"/>
      <c r="F5" s="136" t="s">
        <v>124</v>
      </c>
      <c r="G5" s="136" t="s">
        <v>125</v>
      </c>
      <c r="H5" s="136" t="s">
        <v>291</v>
      </c>
      <c r="I5" s="88"/>
      <c r="J5" s="88"/>
      <c r="K5" s="88"/>
    </row>
    <row r="6" spans="1:11" ht="18.600000000000001" thickBot="1" x14ac:dyDescent="0.4">
      <c r="A6" s="88"/>
      <c r="B6" s="116" t="s">
        <v>118</v>
      </c>
      <c r="C6" s="117"/>
      <c r="D6" s="117"/>
      <c r="E6" s="135" t="s">
        <v>100</v>
      </c>
      <c r="F6" s="145" t="s">
        <v>69</v>
      </c>
      <c r="G6" s="145" t="s">
        <v>69</v>
      </c>
      <c r="H6" s="145" t="s">
        <v>69</v>
      </c>
      <c r="I6" s="88"/>
      <c r="J6" s="88"/>
      <c r="K6" s="88"/>
    </row>
    <row r="7" spans="1:11" ht="18.600000000000001" thickBot="1" x14ac:dyDescent="0.4">
      <c r="A7" s="88"/>
      <c r="B7" s="115" t="s">
        <v>31</v>
      </c>
      <c r="C7" s="104" t="s">
        <v>35</v>
      </c>
      <c r="D7" s="101" t="s">
        <v>28</v>
      </c>
      <c r="E7" s="140" t="s">
        <v>55</v>
      </c>
      <c r="F7" s="137" t="s">
        <v>123</v>
      </c>
      <c r="G7" s="141" t="s">
        <v>70</v>
      </c>
      <c r="H7" s="141" t="s">
        <v>70</v>
      </c>
      <c r="I7" s="88"/>
      <c r="J7" s="88"/>
      <c r="K7" s="88"/>
    </row>
    <row r="8" spans="1:11" ht="21" x14ac:dyDescent="0.45">
      <c r="A8" s="88"/>
      <c r="B8" s="103" t="s">
        <v>120</v>
      </c>
      <c r="C8" s="119" t="s">
        <v>68</v>
      </c>
      <c r="D8" s="108">
        <v>1.9E-2</v>
      </c>
      <c r="E8" s="109" t="s">
        <v>67</v>
      </c>
      <c r="F8" s="137" t="s">
        <v>71</v>
      </c>
      <c r="G8" s="141" t="s">
        <v>71</v>
      </c>
      <c r="H8" s="141" t="s">
        <v>71</v>
      </c>
      <c r="I8" s="88"/>
      <c r="J8" s="88"/>
      <c r="K8" s="88"/>
    </row>
    <row r="9" spans="1:11" ht="21" x14ac:dyDescent="0.45">
      <c r="A9" s="88"/>
      <c r="B9" s="103" t="s">
        <v>121</v>
      </c>
      <c r="C9" s="119" t="s">
        <v>68</v>
      </c>
      <c r="D9" s="108">
        <v>0.95</v>
      </c>
      <c r="E9" s="109" t="s">
        <v>122</v>
      </c>
      <c r="F9" s="138">
        <f>0.00000005670367*((D10+273.15+D8)^4-(D10+273.15)^4)</f>
        <v>0.10257958196402911</v>
      </c>
      <c r="G9" s="142">
        <f>0.00000005670367*((D10+273.15+D9)^4-(D10+273.15)^4)</f>
        <v>5.1539330598923518</v>
      </c>
      <c r="H9" s="142">
        <f>0.00000005670367*((D10+273.15+D9)^4-(D10+273.15)^4)</f>
        <v>5.1539330598923518</v>
      </c>
      <c r="I9" s="88"/>
      <c r="J9" s="88"/>
      <c r="K9" s="88"/>
    </row>
    <row r="10" spans="1:11" ht="19.8" x14ac:dyDescent="0.35">
      <c r="A10" s="88"/>
      <c r="B10" s="103" t="s">
        <v>72</v>
      </c>
      <c r="C10" s="107" t="s">
        <v>66</v>
      </c>
      <c r="D10" s="108">
        <v>14.5</v>
      </c>
      <c r="E10" s="110" t="s">
        <v>75</v>
      </c>
      <c r="F10" s="121" t="s">
        <v>102</v>
      </c>
      <c r="G10" s="143" t="s">
        <v>126</v>
      </c>
      <c r="H10" s="143" t="s">
        <v>126</v>
      </c>
      <c r="I10" s="207"/>
      <c r="J10" s="88"/>
      <c r="K10" s="88"/>
    </row>
    <row r="11" spans="1:11" ht="20.399999999999999" x14ac:dyDescent="0.45">
      <c r="A11" s="88"/>
      <c r="B11" s="103" t="s">
        <v>73</v>
      </c>
      <c r="C11" s="120" t="s">
        <v>119</v>
      </c>
      <c r="D11" s="108">
        <v>2.15</v>
      </c>
      <c r="E11" s="110">
        <v>2.15</v>
      </c>
      <c r="F11" s="121" t="s">
        <v>127</v>
      </c>
      <c r="G11" s="143" t="s">
        <v>293</v>
      </c>
      <c r="H11" s="143" t="s">
        <v>292</v>
      </c>
      <c r="I11" s="88"/>
      <c r="J11" s="88"/>
      <c r="K11" s="88"/>
    </row>
    <row r="12" spans="1:11" ht="21" x14ac:dyDescent="0.45">
      <c r="A12" s="88"/>
      <c r="B12" s="105" t="s">
        <v>74</v>
      </c>
      <c r="C12" s="120" t="s">
        <v>23</v>
      </c>
      <c r="D12" s="108">
        <v>0.63</v>
      </c>
      <c r="E12" s="110">
        <v>0.62</v>
      </c>
      <c r="F12" s="121" t="s">
        <v>128</v>
      </c>
      <c r="G12" s="143" t="s">
        <v>129</v>
      </c>
      <c r="H12" s="143" t="s">
        <v>129</v>
      </c>
      <c r="I12" s="88"/>
      <c r="J12" s="88"/>
      <c r="K12" s="88"/>
    </row>
    <row r="13" spans="1:11" ht="21.6" thickBot="1" x14ac:dyDescent="0.45">
      <c r="A13" s="88"/>
      <c r="B13" s="254" t="s">
        <v>193</v>
      </c>
      <c r="C13" s="88"/>
      <c r="D13" s="88"/>
      <c r="E13" s="88"/>
      <c r="F13" s="139">
        <f>F9/D11/(1+D12)</f>
        <v>2.9270818080761624E-2</v>
      </c>
      <c r="G13" s="144">
        <f>G9/E11/(1+E12)</f>
        <v>1.4797396095011059</v>
      </c>
      <c r="H13" s="144">
        <f>H9/D11</f>
        <v>2.3971781673917918</v>
      </c>
      <c r="I13" s="88"/>
      <c r="J13" s="88"/>
      <c r="K13" s="88"/>
    </row>
    <row r="14" spans="1:11" ht="18.600000000000001" thickBot="1" x14ac:dyDescent="0.4">
      <c r="A14" s="88"/>
      <c r="B14" s="88"/>
      <c r="C14" s="88"/>
      <c r="D14" s="88"/>
      <c r="E14" s="88"/>
      <c r="F14" s="361" t="str">
        <f>"Ratio of DPT/DPASG="&amp;ROUND(G13/F13,1)</f>
        <v>Ratio of DPT/DPASG=50.6</v>
      </c>
      <c r="G14" s="143" t="str">
        <f>"SG Efficiency="&amp;ROUND(((H13-G13)/H13)*100,1)&amp;"%"</f>
        <v>SG Efficiency=38.3%</v>
      </c>
      <c r="I14" s="88"/>
      <c r="J14" s="88"/>
      <c r="K14" s="88"/>
    </row>
    <row r="15" spans="1:11" x14ac:dyDescent="0.3">
      <c r="A15" s="88"/>
      <c r="B15" s="88"/>
      <c r="C15" s="88"/>
      <c r="D15" s="88"/>
      <c r="E15" s="88"/>
      <c r="F15" s="88"/>
      <c r="G15" s="88"/>
      <c r="H15" s="88"/>
      <c r="I15" s="88"/>
      <c r="J15" s="88"/>
      <c r="K15" s="88"/>
    </row>
    <row r="16" spans="1:11" ht="15" thickBot="1" x14ac:dyDescent="0.35">
      <c r="A16" s="88"/>
      <c r="B16" s="88" t="s">
        <v>202</v>
      </c>
      <c r="C16" s="88"/>
      <c r="D16" s="88"/>
      <c r="E16" s="88"/>
      <c r="F16" s="88"/>
      <c r="G16" s="88"/>
      <c r="H16" s="88"/>
      <c r="I16" s="88"/>
      <c r="J16" s="88"/>
      <c r="K16" s="88"/>
    </row>
    <row r="17" spans="1:11" ht="18.600000000000001" thickBot="1" x14ac:dyDescent="0.4">
      <c r="A17" s="88"/>
      <c r="B17" s="180" t="s">
        <v>145</v>
      </c>
      <c r="C17" s="181"/>
      <c r="D17" s="181"/>
      <c r="E17" s="181"/>
      <c r="F17" s="181"/>
      <c r="G17" s="181"/>
      <c r="H17" s="182"/>
      <c r="I17" s="183" t="s">
        <v>105</v>
      </c>
      <c r="J17" s="88"/>
      <c r="K17" s="88"/>
    </row>
    <row r="18" spans="1:11" ht="17.399999999999999" x14ac:dyDescent="0.3">
      <c r="A18" s="88"/>
      <c r="B18" s="89"/>
      <c r="C18" s="184" t="s">
        <v>79</v>
      </c>
      <c r="D18" s="185" t="s">
        <v>86</v>
      </c>
      <c r="E18" s="184" t="s">
        <v>88</v>
      </c>
      <c r="F18" s="185" t="s">
        <v>89</v>
      </c>
      <c r="G18" s="184" t="s">
        <v>91</v>
      </c>
      <c r="H18" s="186" t="s">
        <v>92</v>
      </c>
      <c r="I18" s="187" t="s">
        <v>94</v>
      </c>
      <c r="J18" s="88"/>
      <c r="K18" s="88"/>
    </row>
    <row r="19" spans="1:11" ht="19.2" thickBot="1" x14ac:dyDescent="0.4">
      <c r="A19" s="88"/>
      <c r="B19" s="188" t="s">
        <v>76</v>
      </c>
      <c r="C19" s="189" t="s">
        <v>80</v>
      </c>
      <c r="D19" s="190" t="s">
        <v>87</v>
      </c>
      <c r="E19" s="189"/>
      <c r="F19" s="190" t="s">
        <v>90</v>
      </c>
      <c r="G19" s="189" t="s">
        <v>90</v>
      </c>
      <c r="H19" s="191" t="s">
        <v>93</v>
      </c>
      <c r="I19" s="189" t="s">
        <v>95</v>
      </c>
      <c r="J19" s="88"/>
      <c r="K19" s="290" t="s">
        <v>226</v>
      </c>
    </row>
    <row r="20" spans="1:11" ht="19.2" thickBot="1" x14ac:dyDescent="0.45">
      <c r="A20" s="100"/>
      <c r="B20" s="124" t="s">
        <v>99</v>
      </c>
      <c r="C20" s="113">
        <v>2.93E-2</v>
      </c>
      <c r="D20" s="111">
        <v>2.9139999999999999E-2</v>
      </c>
      <c r="E20" s="113">
        <v>2.9139999999999999E-2</v>
      </c>
      <c r="F20" s="111">
        <v>2.9139999999999999E-2</v>
      </c>
      <c r="G20" s="113">
        <v>2.9139999999999999E-2</v>
      </c>
      <c r="H20" s="113">
        <v>2.9139999999999999E-2</v>
      </c>
      <c r="I20" s="216">
        <v>2.93E-2</v>
      </c>
      <c r="J20" s="88"/>
      <c r="K20" s="88"/>
    </row>
    <row r="21" spans="1:11" ht="16.2" thickBot="1" x14ac:dyDescent="0.35">
      <c r="A21" s="90"/>
      <c r="B21" s="123" t="s">
        <v>96</v>
      </c>
      <c r="C21" s="113">
        <v>0.47</v>
      </c>
      <c r="D21" s="111">
        <v>0.92</v>
      </c>
      <c r="E21" s="113">
        <v>0.47</v>
      </c>
      <c r="F21" s="111">
        <v>0.7</v>
      </c>
      <c r="G21" s="113">
        <v>0.7</v>
      </c>
      <c r="H21" s="113">
        <v>1</v>
      </c>
      <c r="I21" s="214"/>
      <c r="J21" s="88"/>
      <c r="K21" s="88"/>
    </row>
    <row r="22" spans="1:11" ht="15.6" x14ac:dyDescent="0.3">
      <c r="A22" s="90"/>
      <c r="B22" s="123" t="s">
        <v>97</v>
      </c>
      <c r="C22" s="113">
        <v>1</v>
      </c>
      <c r="D22" s="111">
        <v>1</v>
      </c>
      <c r="E22" s="113">
        <v>1</v>
      </c>
      <c r="F22" s="111">
        <v>1</v>
      </c>
      <c r="G22" s="113">
        <v>1</v>
      </c>
      <c r="H22" s="113">
        <v>1</v>
      </c>
      <c r="I22" s="219" t="s">
        <v>143</v>
      </c>
      <c r="J22" s="88"/>
      <c r="K22" s="88"/>
    </row>
    <row r="23" spans="1:11" ht="16.2" thickBot="1" x14ac:dyDescent="0.35">
      <c r="A23" s="90"/>
      <c r="B23" s="123" t="s">
        <v>98</v>
      </c>
      <c r="C23" s="113">
        <v>1</v>
      </c>
      <c r="D23" s="111">
        <v>1</v>
      </c>
      <c r="E23" s="113">
        <v>1</v>
      </c>
      <c r="F23" s="111">
        <v>1</v>
      </c>
      <c r="G23" s="113">
        <v>1</v>
      </c>
      <c r="H23" s="113">
        <v>4</v>
      </c>
      <c r="I23" s="220">
        <v>1.47</v>
      </c>
      <c r="J23" s="88"/>
      <c r="K23" s="88"/>
    </row>
    <row r="24" spans="1:11" ht="15.6" x14ac:dyDescent="0.3">
      <c r="A24" s="88"/>
      <c r="B24" s="192" t="s">
        <v>77</v>
      </c>
      <c r="C24" s="113">
        <v>0.6</v>
      </c>
      <c r="D24" s="111">
        <v>0.44</v>
      </c>
      <c r="E24" s="113">
        <v>0.1</v>
      </c>
      <c r="F24" s="111">
        <v>0.75</v>
      </c>
      <c r="G24" s="113">
        <v>0.85</v>
      </c>
      <c r="H24" s="113">
        <v>0.7</v>
      </c>
      <c r="I24" s="214"/>
      <c r="J24" s="88"/>
      <c r="K24" s="88"/>
    </row>
    <row r="25" spans="1:11" ht="15.6" x14ac:dyDescent="0.3">
      <c r="A25" s="88"/>
      <c r="B25" s="192" t="s">
        <v>78</v>
      </c>
      <c r="C25" s="113">
        <v>1</v>
      </c>
      <c r="D25" s="111">
        <v>1</v>
      </c>
      <c r="E25" s="113">
        <v>3</v>
      </c>
      <c r="F25" s="111">
        <v>2</v>
      </c>
      <c r="G25" s="113">
        <v>1</v>
      </c>
      <c r="H25" s="113">
        <v>1</v>
      </c>
      <c r="I25" s="214"/>
      <c r="J25" s="88"/>
      <c r="K25" s="88"/>
    </row>
    <row r="26" spans="1:11" ht="16.2" thickBot="1" x14ac:dyDescent="0.35">
      <c r="A26" s="88"/>
      <c r="B26" s="193" t="s">
        <v>58</v>
      </c>
      <c r="C26" s="114">
        <v>2.15</v>
      </c>
      <c r="D26" s="112">
        <v>2.15</v>
      </c>
      <c r="E26" s="114">
        <v>2.15</v>
      </c>
      <c r="F26" s="112">
        <v>2.15</v>
      </c>
      <c r="G26" s="114">
        <v>2.15</v>
      </c>
      <c r="H26" s="114">
        <v>2.15</v>
      </c>
      <c r="I26" s="215"/>
      <c r="J26" s="88"/>
      <c r="K26" s="88"/>
    </row>
    <row r="27" spans="1:11" ht="20.399999999999999" x14ac:dyDescent="0.45">
      <c r="A27" s="88"/>
      <c r="B27" s="135" t="s">
        <v>81</v>
      </c>
      <c r="C27" s="194">
        <f t="shared" ref="C27:H27" si="0">C20/340.25/C23/C21/C22/C24/C25/(C26/2.15)</f>
        <v>3.0536578756754789E-4</v>
      </c>
      <c r="D27" s="194">
        <f t="shared" si="0"/>
        <v>2.1156845263160947E-4</v>
      </c>
      <c r="E27" s="194">
        <f t="shared" si="0"/>
        <v>6.0739652216507459E-4</v>
      </c>
      <c r="F27" s="194">
        <f t="shared" si="0"/>
        <v>8.1564675833595745E-5</v>
      </c>
      <c r="G27" s="194">
        <f t="shared" si="0"/>
        <v>1.4393766323575721E-4</v>
      </c>
      <c r="H27" s="194">
        <f t="shared" si="0"/>
        <v>3.0586753437598405E-5</v>
      </c>
      <c r="I27" s="195" t="s">
        <v>104</v>
      </c>
      <c r="J27" s="88"/>
      <c r="K27" s="88"/>
    </row>
    <row r="28" spans="1:11" ht="18.600000000000001" thickBot="1" x14ac:dyDescent="0.4">
      <c r="A28" s="88"/>
      <c r="B28" s="196" t="s">
        <v>82</v>
      </c>
      <c r="C28" s="197">
        <f t="shared" ref="C28:H28" si="1">C27*196900000</f>
        <v>60126.523572050181</v>
      </c>
      <c r="D28" s="198">
        <f t="shared" si="1"/>
        <v>41657.828323163907</v>
      </c>
      <c r="E28" s="197">
        <f t="shared" si="1"/>
        <v>119596.37521430319</v>
      </c>
      <c r="F28" s="198">
        <f t="shared" si="1"/>
        <v>16060.084671635002</v>
      </c>
      <c r="G28" s="197">
        <f t="shared" si="1"/>
        <v>28341.325891120596</v>
      </c>
      <c r="H28" s="197">
        <f t="shared" si="1"/>
        <v>6022.5317518631255</v>
      </c>
      <c r="I28" s="199">
        <f>2246/-LN(I20/65)^(1/0.23)</f>
        <v>0.31331816251428241</v>
      </c>
      <c r="J28" s="88"/>
      <c r="K28" s="88"/>
    </row>
    <row r="29" spans="1:11" ht="18" x14ac:dyDescent="0.35">
      <c r="A29" s="88"/>
      <c r="B29" s="196" t="s">
        <v>83</v>
      </c>
      <c r="C29" s="200">
        <f t="shared" ref="C29:H29" si="2">SQRT(C28/3.1416)</f>
        <v>138.34313181345453</v>
      </c>
      <c r="D29" s="201">
        <f t="shared" si="2"/>
        <v>115.15236682067849</v>
      </c>
      <c r="E29" s="200">
        <f t="shared" si="2"/>
        <v>195.11181297262991</v>
      </c>
      <c r="F29" s="201">
        <f t="shared" si="2"/>
        <v>71.498753623281061</v>
      </c>
      <c r="G29" s="200">
        <f t="shared" si="2"/>
        <v>94.980540759512294</v>
      </c>
      <c r="H29" s="200">
        <f t="shared" si="2"/>
        <v>43.783865905502132</v>
      </c>
      <c r="I29" s="217" t="s">
        <v>142</v>
      </c>
      <c r="J29" s="88"/>
      <c r="K29" s="88"/>
    </row>
    <row r="30" spans="1:11" ht="18.600000000000001" thickBot="1" x14ac:dyDescent="0.4">
      <c r="A30" s="88"/>
      <c r="B30" s="202" t="s">
        <v>84</v>
      </c>
      <c r="C30" s="197">
        <f t="shared" ref="C30:H30" si="3">C27*510100000</f>
        <v>155767.08823820617</v>
      </c>
      <c r="D30" s="198">
        <f t="shared" si="3"/>
        <v>107921.067687384</v>
      </c>
      <c r="E30" s="197">
        <f t="shared" si="3"/>
        <v>309832.96595640457</v>
      </c>
      <c r="F30" s="198">
        <f t="shared" si="3"/>
        <v>41606.141142717192</v>
      </c>
      <c r="G30" s="197">
        <f t="shared" si="3"/>
        <v>73422.602016559758</v>
      </c>
      <c r="H30" s="197">
        <f t="shared" si="3"/>
        <v>15602.302928518946</v>
      </c>
      <c r="I30" s="218">
        <f>2246/-LN(I23/65)^(1/0.23)</f>
        <v>6.8552477365189386</v>
      </c>
      <c r="J30" s="88"/>
      <c r="K30" s="88"/>
    </row>
    <row r="31" spans="1:11" ht="18.600000000000001" thickBot="1" x14ac:dyDescent="0.4">
      <c r="A31" s="88"/>
      <c r="B31" s="203" t="s">
        <v>85</v>
      </c>
      <c r="C31" s="204">
        <f t="shared" ref="C31:H31" si="4">SQRT(C30/3.1416)</f>
        <v>222.67035766754779</v>
      </c>
      <c r="D31" s="205">
        <f t="shared" si="4"/>
        <v>185.34363339988687</v>
      </c>
      <c r="E31" s="204">
        <f t="shared" si="4"/>
        <v>314.04245812768204</v>
      </c>
      <c r="F31" s="205">
        <f t="shared" si="4"/>
        <v>115.08090668026581</v>
      </c>
      <c r="G31" s="204">
        <f t="shared" si="4"/>
        <v>152.876045996241</v>
      </c>
      <c r="H31" s="204">
        <f t="shared" si="4"/>
        <v>70.472375125874805</v>
      </c>
      <c r="I31" s="206"/>
      <c r="J31" s="88"/>
      <c r="K31" s="88"/>
    </row>
    <row r="32" spans="1:11" ht="23.4" x14ac:dyDescent="0.45">
      <c r="A32" s="88"/>
      <c r="B32" s="277" t="s">
        <v>193</v>
      </c>
      <c r="C32" s="201"/>
      <c r="D32" s="201"/>
      <c r="E32" s="201"/>
      <c r="F32" s="201"/>
      <c r="G32" s="201"/>
      <c r="H32" s="201"/>
      <c r="I32" s="222"/>
      <c r="J32" s="88"/>
      <c r="K32" s="88"/>
    </row>
    <row r="33" spans="1:18" ht="15" thickBot="1" x14ac:dyDescent="0.35">
      <c r="A33" s="88"/>
      <c r="B33" s="88"/>
      <c r="C33" s="88"/>
      <c r="D33" s="88"/>
      <c r="E33" s="88"/>
      <c r="F33" s="88"/>
      <c r="G33" s="88"/>
      <c r="H33" s="88"/>
      <c r="I33" s="88"/>
      <c r="J33" s="88"/>
      <c r="K33" s="88"/>
    </row>
    <row r="34" spans="1:18" ht="15" thickBot="1" x14ac:dyDescent="0.35">
      <c r="A34" s="88"/>
      <c r="H34" s="88"/>
      <c r="I34" s="88"/>
      <c r="J34" s="359" t="s">
        <v>287</v>
      </c>
      <c r="K34" s="168"/>
      <c r="L34" s="168"/>
      <c r="M34" s="168"/>
      <c r="N34" s="168"/>
      <c r="O34" s="168"/>
      <c r="P34" s="168"/>
      <c r="Q34" s="168"/>
      <c r="R34" s="169"/>
    </row>
    <row r="35" spans="1:18" ht="18.600000000000001" thickBot="1" x14ac:dyDescent="0.4">
      <c r="A35" s="88"/>
      <c r="B35" s="179" t="s">
        <v>105</v>
      </c>
      <c r="C35" s="88" t="s">
        <v>202</v>
      </c>
      <c r="D35" s="88"/>
      <c r="G35" s="88"/>
      <c r="H35" s="88"/>
      <c r="I35" s="88"/>
      <c r="J35" s="170"/>
      <c r="K35" s="171"/>
      <c r="L35" s="171"/>
      <c r="M35" s="171"/>
      <c r="N35" s="171"/>
      <c r="O35" s="171"/>
      <c r="P35" s="171"/>
      <c r="Q35" s="171"/>
      <c r="R35" s="172"/>
    </row>
    <row r="36" spans="1:18" ht="21" thickBot="1" x14ac:dyDescent="0.5">
      <c r="A36" s="88"/>
      <c r="B36" s="116" t="s">
        <v>151</v>
      </c>
      <c r="C36" s="117"/>
      <c r="D36" s="117"/>
      <c r="E36" s="122" t="s">
        <v>100</v>
      </c>
      <c r="F36" s="118" t="s">
        <v>69</v>
      </c>
      <c r="G36" s="88"/>
      <c r="H36" s="88"/>
      <c r="I36" s="88"/>
      <c r="J36" s="170"/>
      <c r="K36" s="171"/>
      <c r="L36" s="171"/>
      <c r="M36" s="171"/>
      <c r="N36" s="171"/>
      <c r="O36" s="171"/>
      <c r="P36" s="171"/>
      <c r="Q36" s="171"/>
      <c r="R36" s="172"/>
    </row>
    <row r="37" spans="1:18" ht="20.399999999999999" x14ac:dyDescent="0.45">
      <c r="A37" s="88"/>
      <c r="B37" s="125" t="s">
        <v>31</v>
      </c>
      <c r="C37" s="119" t="s">
        <v>112</v>
      </c>
      <c r="D37" s="101" t="s">
        <v>28</v>
      </c>
      <c r="E37" s="134" t="s">
        <v>55</v>
      </c>
      <c r="F37" s="141" t="s">
        <v>148</v>
      </c>
      <c r="G37" s="88"/>
      <c r="H37" s="88"/>
      <c r="I37" s="88"/>
      <c r="J37" s="170"/>
      <c r="K37" s="171"/>
      <c r="L37" s="171"/>
      <c r="M37" s="171"/>
      <c r="N37" s="171"/>
      <c r="O37" s="171"/>
      <c r="P37" s="171"/>
      <c r="Q37" s="171"/>
      <c r="R37" s="172"/>
    </row>
    <row r="38" spans="1:18" ht="21" x14ac:dyDescent="0.45">
      <c r="A38" s="88"/>
      <c r="B38" s="126" t="s">
        <v>147</v>
      </c>
      <c r="C38" s="129" t="s">
        <v>153</v>
      </c>
      <c r="D38" s="128">
        <v>2.93E-2</v>
      </c>
      <c r="E38" s="102" t="s">
        <v>150</v>
      </c>
      <c r="F38" s="132" t="s">
        <v>152</v>
      </c>
      <c r="G38" s="88"/>
      <c r="H38" s="88"/>
      <c r="I38" s="88"/>
      <c r="J38" s="170"/>
      <c r="K38" s="171"/>
      <c r="L38" s="171"/>
      <c r="M38" s="171"/>
      <c r="N38" s="171"/>
      <c r="O38" s="171"/>
      <c r="P38" s="171"/>
      <c r="Q38" s="171"/>
      <c r="R38" s="172"/>
    </row>
    <row r="39" spans="1:18" ht="18.600000000000001" thickBot="1" x14ac:dyDescent="0.4">
      <c r="A39" s="88"/>
      <c r="B39" s="97" t="s">
        <v>149</v>
      </c>
      <c r="C39" s="97"/>
      <c r="D39" s="97"/>
      <c r="E39" s="97"/>
      <c r="F39" s="133">
        <f>2246/-LN(D38/65)^(1/0.23)</f>
        <v>0.31331816251428241</v>
      </c>
      <c r="G39" s="88"/>
      <c r="H39" s="88"/>
      <c r="I39" s="88"/>
      <c r="J39" s="170"/>
      <c r="K39" s="171"/>
      <c r="L39" s="171"/>
      <c r="M39" s="171"/>
      <c r="N39" s="171"/>
      <c r="O39" s="171"/>
      <c r="P39" s="171"/>
      <c r="Q39" s="171"/>
      <c r="R39" s="172"/>
    </row>
    <row r="40" spans="1:18" ht="15" thickBot="1" x14ac:dyDescent="0.35">
      <c r="A40" s="88"/>
      <c r="B40" s="88"/>
      <c r="C40" s="88"/>
      <c r="D40" s="88"/>
      <c r="E40" s="88"/>
      <c r="F40" s="88"/>
      <c r="G40" s="88"/>
      <c r="H40" s="88"/>
      <c r="I40" s="88"/>
      <c r="J40" s="170"/>
      <c r="K40" s="171"/>
      <c r="L40" s="171"/>
      <c r="M40" s="171"/>
      <c r="N40" s="171"/>
      <c r="O40" s="171"/>
      <c r="P40" s="171"/>
      <c r="Q40" s="171"/>
      <c r="R40" s="172"/>
    </row>
    <row r="41" spans="1:18" ht="18.600000000000001" thickBot="1" x14ac:dyDescent="0.4">
      <c r="A41" s="88"/>
      <c r="B41" s="179" t="s">
        <v>144</v>
      </c>
      <c r="C41" s="88" t="s">
        <v>202</v>
      </c>
      <c r="D41" s="88"/>
      <c r="E41" s="88"/>
      <c r="F41" s="88"/>
      <c r="G41" s="88"/>
      <c r="H41" s="88"/>
      <c r="I41" s="88"/>
      <c r="J41" s="170"/>
      <c r="K41" s="171"/>
      <c r="L41" s="171"/>
      <c r="M41" s="171"/>
      <c r="N41" s="171"/>
      <c r="O41" s="171"/>
      <c r="P41" s="171"/>
      <c r="Q41" s="171"/>
      <c r="R41" s="172"/>
    </row>
    <row r="42" spans="1:18" ht="21" thickBot="1" x14ac:dyDescent="0.5">
      <c r="A42" s="88"/>
      <c r="B42" s="116" t="s">
        <v>138</v>
      </c>
      <c r="C42" s="117"/>
      <c r="D42" s="117"/>
      <c r="E42" s="122" t="s">
        <v>100</v>
      </c>
      <c r="F42" s="208" t="s">
        <v>69</v>
      </c>
      <c r="G42" s="88"/>
      <c r="H42" s="88"/>
      <c r="I42" s="88"/>
      <c r="J42" s="170"/>
      <c r="K42" s="171"/>
      <c r="L42" s="171"/>
      <c r="M42" s="171"/>
      <c r="N42" s="171"/>
      <c r="O42" s="171"/>
      <c r="P42" s="171"/>
      <c r="Q42" s="171"/>
      <c r="R42" s="172"/>
    </row>
    <row r="43" spans="1:18" ht="18" x14ac:dyDescent="0.35">
      <c r="A43" s="88"/>
      <c r="B43" s="125" t="s">
        <v>31</v>
      </c>
      <c r="C43" s="119" t="s">
        <v>112</v>
      </c>
      <c r="D43" s="101" t="s">
        <v>28</v>
      </c>
      <c r="E43" s="196" t="s">
        <v>55</v>
      </c>
      <c r="F43" s="137" t="s">
        <v>136</v>
      </c>
      <c r="G43" s="88"/>
      <c r="H43" s="88"/>
      <c r="I43" s="88"/>
      <c r="J43" s="170"/>
      <c r="K43" s="171"/>
      <c r="L43" s="171"/>
      <c r="M43" s="171"/>
      <c r="N43" s="171"/>
      <c r="O43" s="171"/>
      <c r="P43" s="171"/>
      <c r="Q43" s="171"/>
      <c r="R43" s="172"/>
    </row>
    <row r="44" spans="1:18" ht="21" x14ac:dyDescent="0.45">
      <c r="A44" s="88"/>
      <c r="B44" s="126" t="s">
        <v>134</v>
      </c>
      <c r="C44" s="106" t="s">
        <v>113</v>
      </c>
      <c r="D44" s="128">
        <v>61</v>
      </c>
      <c r="E44" s="1" t="s">
        <v>139</v>
      </c>
      <c r="F44" s="209" t="s">
        <v>137</v>
      </c>
      <c r="G44" s="88"/>
      <c r="H44" s="88"/>
      <c r="I44" s="88"/>
      <c r="J44" s="170"/>
      <c r="K44" s="171"/>
      <c r="L44" s="171"/>
      <c r="M44" s="171"/>
      <c r="N44" s="171"/>
      <c r="O44" s="171"/>
      <c r="P44" s="171"/>
      <c r="Q44" s="171"/>
      <c r="R44" s="172"/>
    </row>
    <row r="45" spans="1:18" ht="20.399999999999999" thickBot="1" x14ac:dyDescent="0.4">
      <c r="A45" s="88"/>
      <c r="B45" s="211" t="s">
        <v>135</v>
      </c>
      <c r="C45" s="212" t="s">
        <v>113</v>
      </c>
      <c r="D45" s="213">
        <v>33</v>
      </c>
      <c r="E45" s="110" t="s">
        <v>140</v>
      </c>
      <c r="F45" s="210">
        <f>EXP(-(2465000/461.5)*((1/(273.15+D44)-1/(273.15+D45))))</f>
        <v>4.3142917368752052</v>
      </c>
      <c r="G45" s="88"/>
      <c r="H45" s="88"/>
      <c r="I45" s="88"/>
      <c r="J45" s="170"/>
      <c r="K45" s="171"/>
      <c r="L45" s="171"/>
      <c r="M45" s="171"/>
      <c r="N45" s="171"/>
      <c r="O45" s="171"/>
      <c r="P45" s="171"/>
      <c r="Q45" s="171"/>
      <c r="R45" s="172"/>
    </row>
    <row r="46" spans="1:18" x14ac:dyDescent="0.3">
      <c r="A46" s="88"/>
      <c r="B46" t="s">
        <v>141</v>
      </c>
      <c r="G46" s="88"/>
      <c r="H46" s="88"/>
      <c r="I46" s="88"/>
      <c r="J46" s="170"/>
      <c r="K46" s="171"/>
      <c r="L46" s="171"/>
      <c r="M46" s="171"/>
      <c r="N46" s="171"/>
      <c r="O46" s="171"/>
      <c r="P46" s="171"/>
      <c r="Q46" s="171"/>
      <c r="R46" s="172"/>
    </row>
    <row r="47" spans="1:18" x14ac:dyDescent="0.3">
      <c r="A47" s="88"/>
      <c r="G47" s="88"/>
      <c r="H47" s="88"/>
      <c r="I47" s="88"/>
      <c r="J47" s="170"/>
      <c r="K47" s="171"/>
      <c r="L47" s="171"/>
      <c r="M47" s="171"/>
      <c r="N47" s="171"/>
      <c r="O47" s="171"/>
      <c r="P47" s="171"/>
      <c r="Q47" s="171"/>
      <c r="R47" s="172"/>
    </row>
    <row r="48" spans="1:18" ht="15" thickBot="1" x14ac:dyDescent="0.35">
      <c r="A48" s="88"/>
      <c r="G48" s="88"/>
      <c r="H48" s="88"/>
      <c r="I48" s="88"/>
      <c r="J48" s="170"/>
      <c r="K48" s="171"/>
      <c r="L48" s="171"/>
      <c r="M48" s="171"/>
      <c r="N48" s="171"/>
      <c r="O48" s="171"/>
      <c r="P48" s="171"/>
      <c r="Q48" s="171"/>
      <c r="R48" s="172"/>
    </row>
    <row r="49" spans="1:18" ht="18.600000000000001" thickBot="1" x14ac:dyDescent="0.4">
      <c r="A49" s="88"/>
      <c r="B49" s="179" t="s">
        <v>111</v>
      </c>
      <c r="C49" s="88" t="s">
        <v>202</v>
      </c>
      <c r="D49" s="88"/>
      <c r="E49" s="88"/>
      <c r="F49" s="88"/>
      <c r="G49" s="88"/>
      <c r="H49" s="88"/>
      <c r="I49" s="88"/>
      <c r="J49" s="170"/>
      <c r="K49" s="171"/>
      <c r="L49" s="171"/>
      <c r="M49" s="171"/>
      <c r="N49" s="171"/>
      <c r="O49" s="171"/>
      <c r="P49" s="171"/>
      <c r="Q49" s="171"/>
      <c r="R49" s="172"/>
    </row>
    <row r="50" spans="1:18" ht="18.600000000000001" thickBot="1" x14ac:dyDescent="0.4">
      <c r="B50" s="116" t="s">
        <v>114</v>
      </c>
      <c r="C50" s="117"/>
      <c r="D50" s="117"/>
      <c r="E50" s="122" t="s">
        <v>100</v>
      </c>
      <c r="F50" s="118" t="s">
        <v>69</v>
      </c>
      <c r="G50" s="88"/>
      <c r="J50" s="170"/>
      <c r="K50" s="171"/>
      <c r="L50" s="171"/>
      <c r="M50" s="171"/>
      <c r="N50" s="171"/>
      <c r="O50" s="171"/>
      <c r="P50" s="171"/>
      <c r="Q50" s="171"/>
      <c r="R50" s="172"/>
    </row>
    <row r="51" spans="1:18" ht="18" x14ac:dyDescent="0.35">
      <c r="B51" s="125" t="s">
        <v>31</v>
      </c>
      <c r="C51" s="119" t="s">
        <v>112</v>
      </c>
      <c r="D51" s="101" t="s">
        <v>28</v>
      </c>
      <c r="E51" s="134" t="s">
        <v>55</v>
      </c>
      <c r="F51" s="141" t="s">
        <v>108</v>
      </c>
      <c r="H51" s="97"/>
      <c r="I51" s="97"/>
      <c r="J51" s="170"/>
      <c r="K51" s="171"/>
      <c r="L51" s="171"/>
      <c r="M51" s="171"/>
      <c r="N51" s="171"/>
      <c r="O51" s="171"/>
      <c r="P51" s="171"/>
      <c r="Q51" s="171"/>
      <c r="R51" s="172"/>
    </row>
    <row r="52" spans="1:18" ht="21" x14ac:dyDescent="0.45">
      <c r="B52" s="126" t="s">
        <v>115</v>
      </c>
      <c r="C52" s="129" t="s">
        <v>17</v>
      </c>
      <c r="D52" s="128">
        <v>1.65</v>
      </c>
      <c r="E52" s="102">
        <v>2.15</v>
      </c>
      <c r="F52" s="130" t="s">
        <v>109</v>
      </c>
      <c r="G52" s="97"/>
      <c r="H52" s="97"/>
      <c r="I52" s="97"/>
      <c r="J52" s="170"/>
      <c r="K52" s="171"/>
      <c r="L52" s="171"/>
      <c r="M52" s="171"/>
      <c r="N52" s="171"/>
      <c r="O52" s="171"/>
      <c r="P52" s="171"/>
      <c r="Q52" s="171"/>
      <c r="R52" s="172"/>
    </row>
    <row r="53" spans="1:18" ht="19.8" x14ac:dyDescent="0.35">
      <c r="B53" s="126" t="s">
        <v>106</v>
      </c>
      <c r="C53" s="106" t="s">
        <v>113</v>
      </c>
      <c r="D53" s="128">
        <v>0.9</v>
      </c>
      <c r="E53" s="102" t="s">
        <v>116</v>
      </c>
      <c r="F53" s="131">
        <f>0.00000005670367*((D54+273.15+D53)^4-(D54+273.15)^4)</f>
        <v>4.8814011998432978</v>
      </c>
      <c r="G53" s="97"/>
      <c r="H53" s="97"/>
      <c r="I53" s="97"/>
      <c r="J53" s="170"/>
      <c r="K53" s="171"/>
      <c r="L53" s="171"/>
      <c r="M53" s="171"/>
      <c r="N53" s="171"/>
      <c r="O53" s="171"/>
      <c r="P53" s="171"/>
      <c r="Q53" s="171"/>
      <c r="R53" s="172"/>
    </row>
    <row r="54" spans="1:18" ht="20.399999999999999" thickBot="1" x14ac:dyDescent="0.4">
      <c r="B54" s="126" t="s">
        <v>107</v>
      </c>
      <c r="C54" s="106" t="s">
        <v>113</v>
      </c>
      <c r="D54" s="128">
        <v>14.5</v>
      </c>
      <c r="E54" s="102" t="s">
        <v>75</v>
      </c>
      <c r="F54" s="132" t="s">
        <v>117</v>
      </c>
      <c r="G54" s="97"/>
      <c r="H54" s="97"/>
      <c r="I54" s="97"/>
      <c r="J54" s="173"/>
      <c r="K54" s="174"/>
      <c r="L54" s="174"/>
      <c r="M54" s="174"/>
      <c r="N54" s="174"/>
      <c r="O54" s="174"/>
      <c r="P54" s="174"/>
      <c r="Q54" s="174"/>
      <c r="R54" s="175"/>
    </row>
    <row r="55" spans="1:18" ht="18.600000000000001" thickBot="1" x14ac:dyDescent="0.4">
      <c r="B55" s="127" t="s">
        <v>110</v>
      </c>
      <c r="C55" s="102" t="s">
        <v>154</v>
      </c>
      <c r="D55" s="128">
        <v>3.22</v>
      </c>
      <c r="E55" s="102">
        <v>3.22</v>
      </c>
      <c r="F55" s="133">
        <f>(F53/D53)-(F53/(D52*D53))-D55</f>
        <v>-1.0833597441763354</v>
      </c>
      <c r="G55" s="97"/>
      <c r="H55" s="97"/>
      <c r="I55" s="97"/>
      <c r="J55" s="97"/>
      <c r="K55" s="97"/>
      <c r="L55" s="97"/>
      <c r="M55" s="97"/>
    </row>
    <row r="56" spans="1:18" ht="23.4" x14ac:dyDescent="0.45">
      <c r="B56" s="360" t="s">
        <v>193</v>
      </c>
      <c r="G56" s="97"/>
      <c r="H56" s="97"/>
      <c r="I56" s="97"/>
      <c r="J56" s="97"/>
      <c r="K56" s="97"/>
      <c r="L56" s="97"/>
      <c r="M56" s="97"/>
    </row>
    <row r="57" spans="1:18" x14ac:dyDescent="0.3">
      <c r="G57" s="97"/>
      <c r="H57" s="97"/>
      <c r="I57" s="97"/>
      <c r="J57" s="97"/>
      <c r="K57" s="97"/>
      <c r="L57" s="97"/>
      <c r="M57" s="97"/>
    </row>
    <row r="58" spans="1:18" x14ac:dyDescent="0.3">
      <c r="F58" s="221"/>
      <c r="G58" s="97"/>
      <c r="H58" s="97"/>
      <c r="I58" s="97"/>
      <c r="J58" s="97"/>
      <c r="K58" s="97"/>
      <c r="L58" s="97"/>
      <c r="M58" s="97"/>
    </row>
    <row r="59" spans="1:18" x14ac:dyDescent="0.3">
      <c r="G59" s="97"/>
      <c r="H59" s="97"/>
      <c r="I59" s="97"/>
      <c r="J59" s="97"/>
      <c r="K59" s="97"/>
      <c r="L59" s="97"/>
      <c r="M59" s="97"/>
    </row>
    <row r="60" spans="1:18" x14ac:dyDescent="0.3">
      <c r="G60" s="97"/>
      <c r="H60" s="97"/>
      <c r="I60" s="97"/>
      <c r="J60" s="97"/>
      <c r="K60" s="97"/>
      <c r="L60" s="97"/>
      <c r="M60" s="97"/>
    </row>
    <row r="61" spans="1:18" x14ac:dyDescent="0.3">
      <c r="G61" s="97"/>
      <c r="H61" s="97"/>
      <c r="I61" s="97"/>
      <c r="J61" s="97"/>
      <c r="K61" s="97"/>
      <c r="L61" s="97"/>
      <c r="M61" s="97"/>
    </row>
    <row r="62" spans="1:18" x14ac:dyDescent="0.3">
      <c r="G62" s="97"/>
      <c r="H62" s="97"/>
      <c r="I62" s="97"/>
      <c r="J62" s="97"/>
      <c r="K62" s="97"/>
      <c r="L62" s="97"/>
      <c r="M62" s="97"/>
    </row>
    <row r="63" spans="1:18" x14ac:dyDescent="0.3">
      <c r="G63" s="97"/>
      <c r="H63" s="97"/>
      <c r="I63" s="97"/>
      <c r="J63" s="97"/>
      <c r="K63" s="97"/>
      <c r="L63" s="97"/>
      <c r="M63" s="97"/>
    </row>
    <row r="64" spans="1:18" x14ac:dyDescent="0.3">
      <c r="G64" s="97"/>
      <c r="H64" s="97"/>
      <c r="I64" s="97"/>
      <c r="J64" s="97"/>
      <c r="K64" s="97"/>
      <c r="L64" s="97"/>
      <c r="M64" s="97"/>
    </row>
    <row r="65" spans="2:13" x14ac:dyDescent="0.3">
      <c r="G65" s="97"/>
      <c r="H65" s="97"/>
      <c r="I65" s="97"/>
      <c r="J65" s="97"/>
      <c r="K65" s="97"/>
      <c r="L65" s="97"/>
      <c r="M65" s="97"/>
    </row>
    <row r="66" spans="2:13" x14ac:dyDescent="0.3">
      <c r="B66" s="97"/>
      <c r="C66" s="97"/>
      <c r="D66" s="97"/>
      <c r="E66" s="97"/>
      <c r="F66" s="97"/>
      <c r="G66" s="97"/>
      <c r="H66" s="97"/>
      <c r="I66" s="97"/>
      <c r="J66" s="97"/>
      <c r="K66" s="97"/>
      <c r="L66" s="97"/>
      <c r="M66" s="97"/>
    </row>
    <row r="67" spans="2:13" x14ac:dyDescent="0.3">
      <c r="B67" s="97"/>
      <c r="C67" s="97"/>
      <c r="D67" s="97"/>
      <c r="E67" s="97"/>
      <c r="F67" s="97"/>
      <c r="G67" s="97"/>
      <c r="H67" s="97"/>
      <c r="I67" s="97"/>
      <c r="J67" s="97"/>
      <c r="K67" s="97"/>
      <c r="L67" s="97"/>
      <c r="M67" s="97"/>
    </row>
    <row r="68" spans="2:13" x14ac:dyDescent="0.3">
      <c r="B68" s="97"/>
      <c r="C68" s="97"/>
      <c r="D68" s="97"/>
      <c r="E68" s="97"/>
      <c r="F68" s="97"/>
      <c r="G68" s="97"/>
      <c r="H68" s="97"/>
      <c r="I68" s="97"/>
      <c r="J68" s="97"/>
      <c r="K68" s="97"/>
      <c r="L68" s="97"/>
      <c r="M68" s="97"/>
    </row>
    <row r="69" spans="2:13" x14ac:dyDescent="0.3">
      <c r="B69" s="97"/>
      <c r="C69" s="97"/>
      <c r="D69" s="97"/>
      <c r="E69" s="97"/>
      <c r="F69" s="97"/>
      <c r="G69" s="97"/>
      <c r="H69" s="97"/>
      <c r="I69" s="97"/>
      <c r="J69" s="97"/>
      <c r="K69" s="97"/>
      <c r="L69" s="97"/>
      <c r="M69" s="97"/>
    </row>
    <row r="70" spans="2:13" x14ac:dyDescent="0.3">
      <c r="B70" s="97"/>
      <c r="C70" s="97"/>
      <c r="D70" s="97"/>
      <c r="E70" s="97"/>
      <c r="F70" s="97"/>
      <c r="G70" s="97"/>
      <c r="H70" s="97"/>
      <c r="I70" s="97"/>
      <c r="J70" s="97"/>
      <c r="K70" s="97"/>
      <c r="L70" s="97"/>
      <c r="M70" s="97"/>
    </row>
    <row r="71" spans="2:13" x14ac:dyDescent="0.3">
      <c r="B71" s="97"/>
      <c r="C71" s="97"/>
      <c r="D71" s="97"/>
      <c r="E71" s="97"/>
      <c r="F71" s="97"/>
      <c r="G71" s="97"/>
      <c r="H71" s="97"/>
      <c r="I71" s="97"/>
      <c r="J71" s="97"/>
      <c r="K71" s="97"/>
      <c r="L71" s="97"/>
      <c r="M71" s="97"/>
    </row>
    <row r="72" spans="2:13" x14ac:dyDescent="0.3">
      <c r="B72" s="97"/>
      <c r="C72" s="97"/>
      <c r="D72" s="97"/>
      <c r="E72" s="97"/>
      <c r="F72" s="97"/>
      <c r="G72" s="97"/>
      <c r="H72" s="97"/>
      <c r="I72" s="97"/>
      <c r="J72" s="97"/>
      <c r="K72" s="97"/>
      <c r="L72" s="97"/>
      <c r="M72" s="97"/>
    </row>
    <row r="73" spans="2:13" x14ac:dyDescent="0.3">
      <c r="B73" s="97"/>
      <c r="C73" s="97"/>
      <c r="D73" s="97"/>
      <c r="E73" s="97"/>
      <c r="F73" s="97"/>
      <c r="G73" s="97"/>
      <c r="H73" s="97"/>
      <c r="I73" s="97"/>
      <c r="J73" s="97"/>
      <c r="K73" s="97"/>
      <c r="L73" s="97"/>
      <c r="M73" s="97"/>
    </row>
    <row r="74" spans="2:13" x14ac:dyDescent="0.3">
      <c r="B74" s="97"/>
      <c r="C74" s="97"/>
      <c r="D74" s="97"/>
      <c r="E74" s="97"/>
      <c r="F74" s="97"/>
      <c r="G74" s="97"/>
      <c r="H74" s="97"/>
      <c r="I74" s="97"/>
      <c r="J74" s="97"/>
      <c r="K74" s="97"/>
      <c r="L74" s="97"/>
      <c r="M74" s="97"/>
    </row>
    <row r="75" spans="2:13" x14ac:dyDescent="0.3">
      <c r="B75" s="97"/>
      <c r="C75" s="97"/>
      <c r="D75" s="97"/>
      <c r="E75" s="97"/>
      <c r="F75" s="97"/>
      <c r="G75" s="97"/>
      <c r="H75" s="97"/>
      <c r="I75" s="97"/>
      <c r="J75" s="97"/>
      <c r="K75" s="97"/>
      <c r="L75" s="97"/>
      <c r="M75" s="97"/>
    </row>
    <row r="76" spans="2:13" x14ac:dyDescent="0.3">
      <c r="B76" s="97"/>
      <c r="C76" s="97"/>
      <c r="D76" s="97"/>
      <c r="E76" s="97"/>
      <c r="F76" s="97"/>
      <c r="G76" s="97"/>
      <c r="H76" s="97"/>
      <c r="I76" s="97"/>
      <c r="J76" s="97"/>
      <c r="K76" s="97"/>
      <c r="L76" s="97"/>
      <c r="M76" s="97"/>
    </row>
    <row r="77" spans="2:13" x14ac:dyDescent="0.3">
      <c r="B77" s="97"/>
      <c r="C77" s="97"/>
      <c r="D77" s="97"/>
      <c r="E77" s="97"/>
      <c r="F77" s="97"/>
      <c r="G77" s="97"/>
      <c r="H77" s="97"/>
      <c r="I77" s="97"/>
      <c r="J77" s="97"/>
      <c r="K77" s="97"/>
      <c r="L77" s="97"/>
      <c r="M77" s="97"/>
    </row>
    <row r="78" spans="2:13" x14ac:dyDescent="0.3">
      <c r="B78" s="97"/>
      <c r="C78" s="97"/>
      <c r="D78" s="97"/>
      <c r="E78" s="97"/>
      <c r="F78" s="97"/>
      <c r="G78" s="97"/>
      <c r="H78" s="97"/>
      <c r="I78" s="97"/>
      <c r="J78" s="97"/>
      <c r="K78" s="97"/>
      <c r="L78" s="97"/>
      <c r="M78" s="97"/>
    </row>
  </sheetData>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53"/>
  <sheetViews>
    <sheetView zoomScale="90" zoomScaleNormal="90" workbookViewId="0">
      <selection activeCell="E17" sqref="E17"/>
    </sheetView>
  </sheetViews>
  <sheetFormatPr defaultRowHeight="14.4" x14ac:dyDescent="0.3"/>
  <cols>
    <col min="1" max="1" width="7.21875" customWidth="1"/>
    <col min="2" max="2" width="11.77734375" customWidth="1"/>
    <col min="3" max="4" width="12.77734375" customWidth="1"/>
    <col min="5" max="5" width="20.33203125" customWidth="1"/>
    <col min="6" max="6" width="20.44140625" customWidth="1"/>
    <col min="7" max="7" width="20.6640625" customWidth="1"/>
    <col min="8" max="8" width="13.21875" customWidth="1"/>
    <col min="9" max="9" width="11.77734375" customWidth="1"/>
    <col min="10" max="10" width="15.77734375" customWidth="1"/>
    <col min="11" max="11" width="15.44140625" customWidth="1"/>
    <col min="12" max="12" width="12.6640625" customWidth="1"/>
    <col min="13" max="13" width="14.21875" customWidth="1"/>
    <col min="14" max="14" width="3.5546875" customWidth="1"/>
    <col min="15" max="15" width="10.5546875" customWidth="1"/>
    <col min="16" max="16" width="11.88671875" customWidth="1"/>
    <col min="17" max="17" width="10.33203125" customWidth="1"/>
    <col min="18" max="18" width="20.33203125" customWidth="1"/>
  </cols>
  <sheetData>
    <row r="1" spans="2:17" ht="18.600000000000001" thickBot="1" x14ac:dyDescent="0.4">
      <c r="B1" t="s">
        <v>62</v>
      </c>
      <c r="G1" s="69" t="s">
        <v>130</v>
      </c>
      <c r="H1" s="54"/>
      <c r="I1" s="54"/>
      <c r="J1" s="54"/>
      <c r="K1" s="54"/>
      <c r="L1" s="54"/>
      <c r="M1" s="55"/>
    </row>
    <row r="2" spans="2:17" ht="15" thickBot="1" x14ac:dyDescent="0.35">
      <c r="B2" s="98"/>
    </row>
    <row r="3" spans="2:17" ht="18.600000000000001" thickBot="1" x14ac:dyDescent="0.4">
      <c r="B3" s="70"/>
      <c r="C3" s="71"/>
      <c r="D3" s="71"/>
      <c r="E3" s="71"/>
      <c r="F3" s="56"/>
      <c r="G3" s="57"/>
      <c r="H3" s="57"/>
      <c r="I3" s="57"/>
      <c r="J3" s="62" t="s">
        <v>41</v>
      </c>
      <c r="K3" s="58"/>
      <c r="L3" s="57"/>
      <c r="M3" s="57"/>
      <c r="N3" s="57"/>
      <c r="O3" s="57"/>
      <c r="P3" s="57"/>
      <c r="Q3" s="59"/>
    </row>
    <row r="4" spans="2:17" ht="15" thickBot="1" x14ac:dyDescent="0.35">
      <c r="B4" s="72"/>
      <c r="C4" s="3"/>
      <c r="D4" s="3"/>
      <c r="E4" s="3"/>
      <c r="F4" s="11"/>
      <c r="G4" s="12"/>
      <c r="H4" s="13"/>
      <c r="I4" s="11"/>
      <c r="J4" s="11"/>
      <c r="K4" s="5"/>
      <c r="L4" s="14"/>
      <c r="M4" s="15" t="s">
        <v>1</v>
      </c>
      <c r="N4" s="72"/>
      <c r="O4" s="76"/>
      <c r="P4" s="80"/>
      <c r="Q4" s="12"/>
    </row>
    <row r="5" spans="2:17" x14ac:dyDescent="0.3">
      <c r="B5" s="4" t="s">
        <v>31</v>
      </c>
      <c r="C5" s="29" t="s">
        <v>35</v>
      </c>
      <c r="D5" s="31" t="s">
        <v>28</v>
      </c>
      <c r="E5" s="3"/>
      <c r="F5" s="8"/>
      <c r="G5" s="6"/>
      <c r="H5" s="7"/>
      <c r="I5" s="8"/>
      <c r="J5" s="8"/>
      <c r="K5" s="9" t="s">
        <v>3</v>
      </c>
      <c r="L5" s="10"/>
      <c r="M5" s="16" t="s">
        <v>6</v>
      </c>
      <c r="N5" s="72"/>
      <c r="O5" s="49"/>
      <c r="P5" s="81"/>
      <c r="Q5" s="6"/>
    </row>
    <row r="6" spans="2:17" ht="15.6" x14ac:dyDescent="0.3">
      <c r="B6" s="30" t="s">
        <v>32</v>
      </c>
      <c r="C6" s="46" t="s">
        <v>29</v>
      </c>
      <c r="D6" s="146">
        <v>0.61799999999999999</v>
      </c>
      <c r="E6" s="84" t="s">
        <v>40</v>
      </c>
      <c r="F6" s="8"/>
      <c r="G6" s="9" t="s">
        <v>20</v>
      </c>
      <c r="H6" s="7"/>
      <c r="I6" s="8" t="s">
        <v>23</v>
      </c>
      <c r="J6" s="8"/>
      <c r="K6" s="9" t="s">
        <v>9</v>
      </c>
      <c r="L6" s="10"/>
      <c r="M6" s="16" t="s">
        <v>12</v>
      </c>
      <c r="N6" s="72"/>
      <c r="O6" s="50" t="s">
        <v>20</v>
      </c>
      <c r="P6" s="8" t="s">
        <v>20</v>
      </c>
      <c r="Q6" s="9" t="s">
        <v>57</v>
      </c>
    </row>
    <row r="7" spans="2:17" ht="15.6" x14ac:dyDescent="0.3">
      <c r="B7" s="30" t="s">
        <v>32</v>
      </c>
      <c r="C7" s="46" t="s">
        <v>30</v>
      </c>
      <c r="D7" s="146">
        <v>0.62624000000000002</v>
      </c>
      <c r="E7" s="84" t="s">
        <v>40</v>
      </c>
      <c r="F7" s="8"/>
      <c r="G7" s="9" t="s">
        <v>21</v>
      </c>
      <c r="H7" s="7" t="s">
        <v>4</v>
      </c>
      <c r="I7" s="8" t="s">
        <v>25</v>
      </c>
      <c r="J7" s="8" t="s">
        <v>27</v>
      </c>
      <c r="K7" s="9" t="s">
        <v>2</v>
      </c>
      <c r="L7" s="10" t="s">
        <v>18</v>
      </c>
      <c r="M7" s="16" t="s">
        <v>7</v>
      </c>
      <c r="N7" s="72"/>
      <c r="O7" s="50" t="s">
        <v>21</v>
      </c>
      <c r="P7" s="8" t="s">
        <v>21</v>
      </c>
      <c r="Q7" s="9"/>
    </row>
    <row r="8" spans="2:17" ht="16.2" thickBot="1" x14ac:dyDescent="0.35">
      <c r="B8" s="30" t="s">
        <v>33</v>
      </c>
      <c r="C8" s="46" t="s">
        <v>14</v>
      </c>
      <c r="D8" s="146">
        <v>340.25</v>
      </c>
      <c r="E8" s="84" t="s">
        <v>40</v>
      </c>
      <c r="F8" s="17" t="s">
        <v>22</v>
      </c>
      <c r="G8" s="9" t="s">
        <v>11</v>
      </c>
      <c r="H8" s="7" t="s">
        <v>5</v>
      </c>
      <c r="I8" s="32" t="s">
        <v>26</v>
      </c>
      <c r="J8" s="8" t="s">
        <v>0</v>
      </c>
      <c r="K8" s="9" t="s">
        <v>10</v>
      </c>
      <c r="L8" s="10" t="s">
        <v>19</v>
      </c>
      <c r="M8" s="16" t="s">
        <v>8</v>
      </c>
      <c r="N8" s="72"/>
      <c r="O8" s="50" t="s">
        <v>24</v>
      </c>
      <c r="P8" s="8" t="s">
        <v>13</v>
      </c>
      <c r="Q8" s="82"/>
    </row>
    <row r="9" spans="2:17" ht="17.399999999999999" x14ac:dyDescent="0.45">
      <c r="B9" s="30" t="s">
        <v>34</v>
      </c>
      <c r="C9" s="46" t="s">
        <v>39</v>
      </c>
      <c r="D9" s="146">
        <v>2.15</v>
      </c>
      <c r="E9" s="84" t="s">
        <v>40</v>
      </c>
      <c r="F9" s="51">
        <v>2019</v>
      </c>
      <c r="G9" s="38">
        <f>(M9/D12)^0.25</f>
        <v>287.6249799869521</v>
      </c>
      <c r="H9" s="39">
        <f>(K9/D12)^0.25</f>
        <v>254.70087779000715</v>
      </c>
      <c r="I9" s="18">
        <f>D7</f>
        <v>0.62624000000000002</v>
      </c>
      <c r="J9" s="18">
        <f>D11</f>
        <v>0.29865000000000003</v>
      </c>
      <c r="K9" s="19">
        <f>D8*(1-J9)</f>
        <v>238.63433749999996</v>
      </c>
      <c r="L9" s="21">
        <f>M9-K9</f>
        <v>149.44236751599999</v>
      </c>
      <c r="M9" s="22">
        <f>(1+D7)*K9</f>
        <v>388.07670501599995</v>
      </c>
      <c r="N9" s="72"/>
      <c r="O9" s="77">
        <f>G9-273.15</f>
        <v>14.474979986952121</v>
      </c>
      <c r="P9" s="73">
        <f>32+(O9)*9/5</f>
        <v>58.054963976513818</v>
      </c>
      <c r="Q9" s="83">
        <f>H9/G9</f>
        <v>0.88553114476204908</v>
      </c>
    </row>
    <row r="10" spans="2:17" ht="17.399999999999999" x14ac:dyDescent="0.45">
      <c r="B10" s="30" t="s">
        <v>0</v>
      </c>
      <c r="C10" s="47" t="s">
        <v>37</v>
      </c>
      <c r="D10" s="146">
        <v>0.2994</v>
      </c>
      <c r="E10" s="84" t="s">
        <v>40</v>
      </c>
      <c r="F10" s="52">
        <v>1950</v>
      </c>
      <c r="G10" s="40">
        <f>(M10/D12)^0.25</f>
        <v>287.18311636217942</v>
      </c>
      <c r="H10" s="33">
        <f>(K10/D12)^0.25</f>
        <v>254.6327583383042</v>
      </c>
      <c r="I10" s="34">
        <f>D6</f>
        <v>0.61799999999999999</v>
      </c>
      <c r="J10" s="34">
        <f>D10</f>
        <v>0.2994</v>
      </c>
      <c r="K10" s="33">
        <f>D8*(1-J10)</f>
        <v>238.37915000000001</v>
      </c>
      <c r="L10" s="20">
        <f>M10-K10</f>
        <v>147.3183147</v>
      </c>
      <c r="M10" s="23">
        <f>(1+D6)*K10</f>
        <v>385.69746470000001</v>
      </c>
      <c r="N10" s="72"/>
      <c r="O10" s="77">
        <f>G10-273.15</f>
        <v>14.033116362179442</v>
      </c>
      <c r="P10" s="73">
        <f>32+(G10-273.15)*9/5</f>
        <v>57.259609451922998</v>
      </c>
      <c r="Q10" s="83">
        <f>H10/G10</f>
        <v>0.88665643567003949</v>
      </c>
    </row>
    <row r="11" spans="2:17" ht="17.399999999999999" x14ac:dyDescent="0.45">
      <c r="B11" s="30" t="s">
        <v>27</v>
      </c>
      <c r="C11" s="47" t="s">
        <v>38</v>
      </c>
      <c r="D11" s="146">
        <v>0.29865000000000003</v>
      </c>
      <c r="E11" s="84" t="s">
        <v>40</v>
      </c>
      <c r="F11" s="52" t="s">
        <v>15</v>
      </c>
      <c r="G11" s="41">
        <f>G9-G10</f>
        <v>0.44186362477267949</v>
      </c>
      <c r="H11" s="35">
        <f>H9-H10</f>
        <v>6.8119451702955303E-2</v>
      </c>
      <c r="I11" s="24">
        <f>I9-I10</f>
        <v>8.2400000000000251E-3</v>
      </c>
      <c r="J11" s="25">
        <f>(J10-J9)/J10</f>
        <v>2.5050100200399899E-3</v>
      </c>
      <c r="K11" s="36">
        <f>K9-K10</f>
        <v>0.25518749999994839</v>
      </c>
      <c r="L11" s="37">
        <f>L9-L10</f>
        <v>2.1240528159999883</v>
      </c>
      <c r="M11" s="26">
        <f>M9-M10</f>
        <v>2.3792403159999367</v>
      </c>
      <c r="N11" s="72"/>
      <c r="O11" s="78">
        <f>O9-O10</f>
        <v>0.44186362477267949</v>
      </c>
      <c r="P11" s="74">
        <f>P9-P10</f>
        <v>0.79535452459082023</v>
      </c>
      <c r="Q11" s="60"/>
    </row>
    <row r="12" spans="2:17" ht="18" thickBot="1" x14ac:dyDescent="0.5">
      <c r="B12" s="87" t="s">
        <v>61</v>
      </c>
      <c r="C12" s="48" t="s">
        <v>36</v>
      </c>
      <c r="D12" s="86">
        <v>5.6703669999999997E-8</v>
      </c>
      <c r="E12" s="85" t="s">
        <v>40</v>
      </c>
      <c r="F12" s="53" t="s">
        <v>16</v>
      </c>
      <c r="G12" s="42">
        <f>G11*D9</f>
        <v>0.95000679326126081</v>
      </c>
      <c r="H12" s="43">
        <f>H11*D9</f>
        <v>0.14645682116135389</v>
      </c>
      <c r="I12" s="27" t="s">
        <v>17</v>
      </c>
      <c r="J12" s="27" t="s">
        <v>17</v>
      </c>
      <c r="K12" s="44">
        <f>K11*D9</f>
        <v>0.54865312499988905</v>
      </c>
      <c r="L12" s="45">
        <f>L11*D9</f>
        <v>4.5667135543999748</v>
      </c>
      <c r="M12" s="28">
        <f>M11*D9</f>
        <v>5.1153666793998633</v>
      </c>
      <c r="N12" s="63"/>
      <c r="O12" s="79">
        <f>D9*O11</f>
        <v>0.95000679326126081</v>
      </c>
      <c r="P12" s="75">
        <f>P11*D9</f>
        <v>1.7100122278702634</v>
      </c>
      <c r="Q12" s="61"/>
    </row>
    <row r="13" spans="2:17" ht="15" thickBot="1" x14ac:dyDescent="0.35">
      <c r="F13" s="99" t="s">
        <v>65</v>
      </c>
      <c r="G13" s="1"/>
      <c r="H13" s="1"/>
      <c r="I13" s="1"/>
      <c r="J13" s="1"/>
      <c r="K13" s="1"/>
      <c r="L13" s="1"/>
      <c r="M13" s="2"/>
    </row>
    <row r="14" spans="2:17" ht="15" thickBot="1" x14ac:dyDescent="0.35">
      <c r="N14" s="3"/>
      <c r="O14" s="96" t="s">
        <v>64</v>
      </c>
      <c r="P14" s="94"/>
      <c r="Q14" s="95"/>
    </row>
    <row r="15" spans="2:17" x14ac:dyDescent="0.3">
      <c r="C15" t="s">
        <v>43</v>
      </c>
      <c r="N15" s="3"/>
      <c r="O15" s="92" t="s">
        <v>22</v>
      </c>
      <c r="P15" s="93" t="s">
        <v>63</v>
      </c>
      <c r="Q15" s="93" t="s">
        <v>63</v>
      </c>
    </row>
    <row r="16" spans="2:17" x14ac:dyDescent="0.3">
      <c r="C16" t="s">
        <v>42</v>
      </c>
      <c r="N16" s="3"/>
      <c r="O16" s="91">
        <v>1950</v>
      </c>
      <c r="P16" s="91" t="s">
        <v>60</v>
      </c>
      <c r="Q16" s="91" t="s">
        <v>59</v>
      </c>
    </row>
    <row r="17" spans="3:17" x14ac:dyDescent="0.3">
      <c r="N17" s="3"/>
      <c r="O17" s="91">
        <v>2019</v>
      </c>
      <c r="P17" s="276">
        <f>32+(Q17)*9/5</f>
        <v>58.874012227870267</v>
      </c>
      <c r="Q17" s="276">
        <f>13.98+O12</f>
        <v>14.930006793261262</v>
      </c>
    </row>
    <row r="18" spans="3:17" x14ac:dyDescent="0.3">
      <c r="C18" s="147"/>
      <c r="D18" s="147"/>
      <c r="E18" s="147"/>
      <c r="F18" s="147"/>
      <c r="G18" s="147"/>
      <c r="H18" s="147"/>
      <c r="I18" s="147"/>
      <c r="J18" s="147"/>
      <c r="K18" s="147"/>
      <c r="L18" s="147"/>
      <c r="M18" s="147"/>
      <c r="N18" s="147"/>
      <c r="P18" s="147"/>
      <c r="Q18" s="147"/>
    </row>
    <row r="19" spans="3:17" x14ac:dyDescent="0.3">
      <c r="C19" s="88" t="s">
        <v>132</v>
      </c>
      <c r="D19" s="88"/>
      <c r="E19" s="88"/>
      <c r="F19" s="88"/>
      <c r="G19" s="88"/>
      <c r="H19" s="88"/>
      <c r="I19" s="88"/>
      <c r="J19" s="88"/>
      <c r="K19" s="88"/>
      <c r="L19" s="88"/>
      <c r="M19" s="88"/>
      <c r="N19" s="147"/>
      <c r="O19" s="147"/>
      <c r="P19" s="147"/>
      <c r="Q19" s="147"/>
    </row>
    <row r="20" spans="3:17" x14ac:dyDescent="0.3">
      <c r="C20" s="166" t="s">
        <v>131</v>
      </c>
      <c r="D20" s="88"/>
      <c r="E20" s="88"/>
      <c r="F20" s="88"/>
      <c r="G20" s="88"/>
      <c r="H20" s="88"/>
      <c r="I20" s="88"/>
      <c r="J20" s="88"/>
      <c r="K20" s="88"/>
      <c r="L20" s="88"/>
      <c r="M20" s="88"/>
      <c r="N20" s="147"/>
      <c r="O20" s="147"/>
      <c r="P20" s="147"/>
      <c r="Q20" s="147"/>
    </row>
    <row r="21" spans="3:17" x14ac:dyDescent="0.3">
      <c r="C21" s="147"/>
      <c r="D21" s="147"/>
      <c r="E21" s="147"/>
      <c r="F21" s="147"/>
      <c r="G21" s="147"/>
      <c r="H21" s="147"/>
      <c r="I21" s="147"/>
      <c r="J21" s="147"/>
      <c r="K21" s="147"/>
      <c r="L21" s="147"/>
      <c r="M21" s="147"/>
      <c r="N21" s="147"/>
      <c r="O21" s="147"/>
      <c r="P21" s="147"/>
      <c r="Q21" s="147"/>
    </row>
    <row r="22" spans="3:17" ht="15" thickBot="1" x14ac:dyDescent="0.35">
      <c r="C22" s="147"/>
      <c r="D22" s="147"/>
      <c r="E22" s="147"/>
      <c r="F22" s="147"/>
      <c r="G22" s="147"/>
      <c r="H22" s="147"/>
      <c r="I22" s="147"/>
      <c r="J22" s="147"/>
      <c r="K22" s="147"/>
      <c r="L22" s="147"/>
      <c r="M22" s="147"/>
      <c r="N22" s="147"/>
      <c r="O22" s="147"/>
      <c r="P22" s="147"/>
      <c r="Q22" s="147"/>
    </row>
    <row r="23" spans="3:17" x14ac:dyDescent="0.3">
      <c r="C23" s="167" t="s">
        <v>133</v>
      </c>
      <c r="D23" s="168"/>
      <c r="E23" s="168"/>
      <c r="F23" s="168"/>
      <c r="G23" s="168"/>
      <c r="H23" s="168"/>
      <c r="I23" s="168"/>
      <c r="J23" s="168"/>
      <c r="K23" s="168"/>
      <c r="L23" s="168"/>
      <c r="M23" s="168"/>
      <c r="N23" s="168"/>
      <c r="O23" s="168"/>
      <c r="P23" s="168"/>
      <c r="Q23" s="169"/>
    </row>
    <row r="24" spans="3:17" x14ac:dyDescent="0.3">
      <c r="C24" s="170"/>
      <c r="D24" s="171"/>
      <c r="E24" s="171"/>
      <c r="F24" s="171"/>
      <c r="G24" s="171"/>
      <c r="H24" s="171"/>
      <c r="I24" s="171"/>
      <c r="J24" s="171"/>
      <c r="K24" s="171"/>
      <c r="L24" s="171"/>
      <c r="M24" s="171"/>
      <c r="N24" s="171"/>
      <c r="O24" s="171"/>
      <c r="P24" s="171"/>
      <c r="Q24" s="172"/>
    </row>
    <row r="25" spans="3:17" x14ac:dyDescent="0.3">
      <c r="C25" s="170"/>
      <c r="D25" s="171"/>
      <c r="E25" s="171"/>
      <c r="F25" s="171"/>
      <c r="G25" s="171"/>
      <c r="H25" s="171"/>
      <c r="I25" s="171"/>
      <c r="J25" s="171"/>
      <c r="K25" s="171"/>
      <c r="L25" s="171"/>
      <c r="M25" s="171"/>
      <c r="N25" s="171"/>
      <c r="O25" s="171"/>
      <c r="P25" s="171"/>
      <c r="Q25" s="172"/>
    </row>
    <row r="26" spans="3:17" x14ac:dyDescent="0.3">
      <c r="C26" s="170"/>
      <c r="D26" s="171"/>
      <c r="E26" s="171"/>
      <c r="F26" s="171"/>
      <c r="G26" s="171"/>
      <c r="H26" s="171"/>
      <c r="I26" s="171"/>
      <c r="J26" s="171"/>
      <c r="K26" s="171"/>
      <c r="L26" s="171"/>
      <c r="M26" s="171"/>
      <c r="N26" s="171"/>
      <c r="O26" s="171"/>
      <c r="P26" s="171"/>
      <c r="Q26" s="172"/>
    </row>
    <row r="27" spans="3:17" x14ac:dyDescent="0.3">
      <c r="C27" s="170"/>
      <c r="D27" s="171"/>
      <c r="E27" s="171"/>
      <c r="F27" s="171"/>
      <c r="G27" s="171"/>
      <c r="H27" s="171"/>
      <c r="I27" s="171"/>
      <c r="J27" s="171"/>
      <c r="K27" s="171"/>
      <c r="L27" s="171"/>
      <c r="M27" s="171"/>
      <c r="N27" s="171"/>
      <c r="O27" s="171"/>
      <c r="P27" s="171"/>
      <c r="Q27" s="172"/>
    </row>
    <row r="28" spans="3:17" x14ac:dyDescent="0.3">
      <c r="C28" s="170"/>
      <c r="D28" s="171"/>
      <c r="E28" s="171"/>
      <c r="F28" s="171"/>
      <c r="G28" s="171"/>
      <c r="H28" s="171"/>
      <c r="I28" s="171"/>
      <c r="J28" s="171"/>
      <c r="K28" s="171"/>
      <c r="L28" s="171"/>
      <c r="M28" s="171"/>
      <c r="N28" s="171"/>
      <c r="O28" s="171"/>
      <c r="P28" s="171"/>
      <c r="Q28" s="172"/>
    </row>
    <row r="29" spans="3:17" x14ac:dyDescent="0.3">
      <c r="C29" s="170"/>
      <c r="D29" s="171"/>
      <c r="E29" s="171"/>
      <c r="F29" s="171"/>
      <c r="G29" s="171"/>
      <c r="H29" s="171"/>
      <c r="I29" s="171"/>
      <c r="J29" s="171"/>
      <c r="K29" s="171"/>
      <c r="L29" s="171"/>
      <c r="M29" s="171"/>
      <c r="N29" s="171"/>
      <c r="O29" s="171"/>
      <c r="P29" s="171"/>
      <c r="Q29" s="172"/>
    </row>
    <row r="30" spans="3:17" x14ac:dyDescent="0.3">
      <c r="C30" s="170"/>
      <c r="D30" s="171"/>
      <c r="E30" s="171"/>
      <c r="F30" s="171"/>
      <c r="G30" s="171"/>
      <c r="H30" s="171"/>
      <c r="I30" s="171"/>
      <c r="J30" s="171"/>
      <c r="K30" s="171"/>
      <c r="L30" s="171"/>
      <c r="M30" s="171"/>
      <c r="N30" s="171"/>
      <c r="O30" s="171"/>
      <c r="P30" s="171"/>
      <c r="Q30" s="172"/>
    </row>
    <row r="31" spans="3:17" x14ac:dyDescent="0.3">
      <c r="C31" s="170"/>
      <c r="D31" s="171"/>
      <c r="E31" s="171"/>
      <c r="F31" s="171"/>
      <c r="G31" s="171"/>
      <c r="H31" s="171"/>
      <c r="I31" s="171"/>
      <c r="J31" s="171"/>
      <c r="K31" s="171"/>
      <c r="L31" s="171"/>
      <c r="M31" s="171"/>
      <c r="N31" s="171"/>
      <c r="O31" s="171"/>
      <c r="P31" s="171"/>
      <c r="Q31" s="172"/>
    </row>
    <row r="32" spans="3:17" x14ac:dyDescent="0.3">
      <c r="C32" s="170"/>
      <c r="D32" s="171"/>
      <c r="E32" s="171"/>
      <c r="F32" s="171"/>
      <c r="G32" s="171"/>
      <c r="H32" s="171"/>
      <c r="I32" s="171"/>
      <c r="J32" s="171"/>
      <c r="K32" s="171"/>
      <c r="L32" s="171"/>
      <c r="M32" s="171"/>
      <c r="N32" s="171"/>
      <c r="O32" s="171"/>
      <c r="P32" s="171"/>
      <c r="Q32" s="172"/>
    </row>
    <row r="33" spans="3:17" x14ac:dyDescent="0.3">
      <c r="C33" s="170"/>
      <c r="D33" s="171"/>
      <c r="E33" s="171"/>
      <c r="F33" s="171"/>
      <c r="G33" s="171"/>
      <c r="H33" s="171"/>
      <c r="I33" s="171"/>
      <c r="J33" s="171"/>
      <c r="K33" s="171"/>
      <c r="L33" s="171"/>
      <c r="M33" s="171"/>
      <c r="N33" s="171"/>
      <c r="O33" s="171"/>
      <c r="P33" s="171"/>
      <c r="Q33" s="172"/>
    </row>
    <row r="34" spans="3:17" x14ac:dyDescent="0.3">
      <c r="C34" s="170"/>
      <c r="D34" s="171"/>
      <c r="E34" s="171"/>
      <c r="F34" s="171"/>
      <c r="G34" s="171"/>
      <c r="H34" s="171"/>
      <c r="I34" s="171"/>
      <c r="J34" s="171"/>
      <c r="K34" s="171"/>
      <c r="L34" s="171"/>
      <c r="M34" s="171"/>
      <c r="N34" s="171"/>
      <c r="O34" s="171"/>
      <c r="P34" s="171"/>
      <c r="Q34" s="172"/>
    </row>
    <row r="35" spans="3:17" x14ac:dyDescent="0.3">
      <c r="C35" s="170"/>
      <c r="D35" s="171"/>
      <c r="E35" s="171"/>
      <c r="F35" s="171"/>
      <c r="G35" s="171"/>
      <c r="H35" s="171"/>
      <c r="I35" s="171"/>
      <c r="J35" s="171"/>
      <c r="K35" s="171"/>
      <c r="L35" s="171"/>
      <c r="M35" s="171"/>
      <c r="N35" s="171"/>
      <c r="O35" s="171"/>
      <c r="P35" s="171"/>
      <c r="Q35" s="172"/>
    </row>
    <row r="36" spans="3:17" ht="15" thickBot="1" x14ac:dyDescent="0.35">
      <c r="C36" s="173"/>
      <c r="D36" s="174"/>
      <c r="E36" s="174"/>
      <c r="F36" s="174"/>
      <c r="G36" s="174"/>
      <c r="H36" s="174"/>
      <c r="I36" s="174"/>
      <c r="J36" s="174"/>
      <c r="K36" s="174"/>
      <c r="L36" s="174"/>
      <c r="M36" s="174"/>
      <c r="N36" s="174"/>
      <c r="O36" s="174"/>
      <c r="P36" s="174"/>
      <c r="Q36" s="175"/>
    </row>
    <row r="37" spans="3:17" ht="15" thickBot="1" x14ac:dyDescent="0.35">
      <c r="C37" s="147"/>
      <c r="D37" s="147"/>
      <c r="E37" s="147"/>
      <c r="F37" s="147"/>
      <c r="G37" s="147"/>
      <c r="H37" s="147"/>
      <c r="I37" s="147"/>
      <c r="J37" s="147"/>
      <c r="K37" s="147"/>
      <c r="L37" s="147"/>
      <c r="M37" s="147"/>
      <c r="N37" s="147"/>
      <c r="O37" s="147"/>
      <c r="P37" s="147"/>
      <c r="Q37" s="147"/>
    </row>
    <row r="38" spans="3:17" ht="20.399999999999999" thickBot="1" x14ac:dyDescent="0.35">
      <c r="C38" s="147"/>
      <c r="D38" s="147"/>
      <c r="E38" s="147"/>
      <c r="F38" s="64" t="s">
        <v>56</v>
      </c>
      <c r="G38" s="65"/>
      <c r="H38" s="66"/>
      <c r="I38" s="67"/>
      <c r="J38" s="68"/>
      <c r="K38" s="147"/>
      <c r="L38" s="147"/>
      <c r="M38" s="147"/>
      <c r="N38" s="147"/>
      <c r="O38" s="147"/>
      <c r="P38" s="147"/>
      <c r="Q38" s="147"/>
    </row>
    <row r="39" spans="3:17" x14ac:dyDescent="0.3">
      <c r="C39" s="147"/>
      <c r="D39" s="147"/>
      <c r="E39" s="147"/>
      <c r="F39" s="148" t="s">
        <v>45</v>
      </c>
      <c r="G39" s="149" t="s">
        <v>44</v>
      </c>
      <c r="H39" s="150" t="s">
        <v>46</v>
      </c>
      <c r="I39" s="149" t="s">
        <v>47</v>
      </c>
      <c r="J39" s="151" t="s">
        <v>4</v>
      </c>
      <c r="K39" s="147"/>
      <c r="L39" s="147"/>
      <c r="M39" s="147"/>
      <c r="N39" s="147"/>
      <c r="O39" s="147"/>
      <c r="P39" s="147"/>
      <c r="Q39" s="147"/>
    </row>
    <row r="40" spans="3:17" ht="16.2" x14ac:dyDescent="0.3">
      <c r="C40" s="147"/>
      <c r="D40" s="147"/>
      <c r="E40" s="147"/>
      <c r="F40" s="152" t="s">
        <v>48</v>
      </c>
      <c r="G40" s="153">
        <v>1000</v>
      </c>
      <c r="H40" s="154" t="s">
        <v>49</v>
      </c>
      <c r="I40" s="155" t="s">
        <v>49</v>
      </c>
      <c r="J40" s="156" t="s">
        <v>49</v>
      </c>
      <c r="K40" s="147"/>
      <c r="L40" s="147"/>
      <c r="M40" s="147"/>
      <c r="N40" s="147"/>
      <c r="O40" s="147"/>
      <c r="P40" s="147"/>
      <c r="Q40" s="147"/>
    </row>
    <row r="41" spans="3:17" x14ac:dyDescent="0.3">
      <c r="C41" s="147"/>
      <c r="D41" s="147"/>
      <c r="E41" s="147"/>
      <c r="F41" s="152" t="s">
        <v>50</v>
      </c>
      <c r="G41" s="153">
        <v>1</v>
      </c>
      <c r="H41" s="157">
        <f>(1-G42)*G41*G40</f>
        <v>600</v>
      </c>
      <c r="I41" s="158">
        <f>H41/G41</f>
        <v>600</v>
      </c>
      <c r="J41" s="159" t="str">
        <f>ROUND((I41/0.00000005670367)^0.25,4)&amp;" K"</f>
        <v>320.7266 K</v>
      </c>
      <c r="K41" s="147"/>
      <c r="L41" s="147"/>
      <c r="M41" s="147"/>
      <c r="N41" s="147"/>
      <c r="O41" s="147"/>
      <c r="P41" s="147"/>
      <c r="Q41" s="147"/>
    </row>
    <row r="42" spans="3:17" ht="16.2" x14ac:dyDescent="0.3">
      <c r="C42" s="147"/>
      <c r="D42" s="147"/>
      <c r="E42" s="147"/>
      <c r="F42" s="152" t="s">
        <v>51</v>
      </c>
      <c r="G42" s="153">
        <v>0.4</v>
      </c>
      <c r="H42" s="154" t="s">
        <v>52</v>
      </c>
      <c r="I42" s="155" t="s">
        <v>52</v>
      </c>
      <c r="J42" s="159" t="str">
        <f>ROUND((I41/0.00000005670367)^0.25-273.15,4)&amp;" C"</f>
        <v>47.5766 C</v>
      </c>
      <c r="K42" s="147"/>
      <c r="L42" s="147"/>
      <c r="M42" s="147"/>
      <c r="N42" s="147"/>
      <c r="O42" s="147"/>
      <c r="P42" s="147"/>
      <c r="Q42" s="147"/>
    </row>
    <row r="43" spans="3:17" ht="16.2" x14ac:dyDescent="0.3">
      <c r="C43" s="147"/>
      <c r="D43" s="147"/>
      <c r="E43" s="147"/>
      <c r="F43" s="152" t="s">
        <v>53</v>
      </c>
      <c r="G43" s="153">
        <v>1</v>
      </c>
      <c r="H43" s="157">
        <f>(1-G44)*G43*G40</f>
        <v>950</v>
      </c>
      <c r="I43" s="158">
        <f>H43/G43</f>
        <v>950</v>
      </c>
      <c r="J43" s="156" t="s">
        <v>52</v>
      </c>
      <c r="K43" s="147"/>
      <c r="L43" s="147"/>
      <c r="M43" s="147"/>
      <c r="N43" s="147"/>
      <c r="O43" s="147"/>
      <c r="P43" s="147"/>
      <c r="Q43" s="147"/>
    </row>
    <row r="44" spans="3:17" ht="16.8" thickBot="1" x14ac:dyDescent="0.35">
      <c r="C44" s="147"/>
      <c r="D44" s="147"/>
      <c r="E44" s="147"/>
      <c r="F44" s="160" t="s">
        <v>54</v>
      </c>
      <c r="G44" s="161">
        <v>0.05</v>
      </c>
      <c r="H44" s="162"/>
      <c r="I44" s="163"/>
      <c r="J44" s="159" t="str">
        <f>ROUND((I43/0.00000005670367)^0.25,4)&amp;" K"</f>
        <v>359.7726 K</v>
      </c>
      <c r="K44" s="147"/>
      <c r="L44" s="147"/>
      <c r="M44" s="147"/>
      <c r="N44" s="147"/>
      <c r="O44" s="147"/>
      <c r="P44" s="147"/>
      <c r="Q44" s="147"/>
    </row>
    <row r="45" spans="3:17" ht="15" thickBot="1" x14ac:dyDescent="0.35">
      <c r="C45" s="147"/>
      <c r="D45" s="147"/>
      <c r="E45" s="147"/>
      <c r="F45" s="147"/>
      <c r="G45" s="147"/>
      <c r="H45" s="164"/>
      <c r="I45" s="164"/>
      <c r="J45" s="165" t="str">
        <f>ROUND((I43/0.00000005670367)^0.25-273.15,4)&amp;" C"</f>
        <v>86.6226 C</v>
      </c>
      <c r="K45" s="147"/>
      <c r="L45" s="147"/>
      <c r="M45" s="147"/>
      <c r="N45" s="147"/>
      <c r="O45" s="147"/>
      <c r="P45" s="147"/>
      <c r="Q45" s="147"/>
    </row>
    <row r="46" spans="3:17" x14ac:dyDescent="0.3">
      <c r="C46" s="147"/>
      <c r="D46" s="147"/>
      <c r="E46" s="147"/>
      <c r="F46" s="147"/>
      <c r="G46" s="147"/>
      <c r="H46" s="147"/>
      <c r="I46" s="147"/>
      <c r="J46" s="147"/>
      <c r="K46" s="147"/>
      <c r="L46" s="147"/>
      <c r="M46" s="147"/>
      <c r="N46" s="147"/>
      <c r="O46" s="147"/>
      <c r="P46" s="147"/>
      <c r="Q46" s="147"/>
    </row>
    <row r="47" spans="3:17" x14ac:dyDescent="0.3">
      <c r="C47" s="147"/>
      <c r="D47" s="147"/>
      <c r="E47" s="147"/>
      <c r="F47" s="147"/>
      <c r="G47" s="147"/>
      <c r="H47" s="147"/>
      <c r="I47" s="147"/>
      <c r="J47" s="147"/>
      <c r="K47" s="147"/>
      <c r="L47" s="147"/>
      <c r="M47" s="147"/>
      <c r="N47" s="147"/>
      <c r="O47" s="147"/>
      <c r="P47" s="147"/>
      <c r="Q47" s="147"/>
    </row>
    <row r="48" spans="3:17" x14ac:dyDescent="0.3">
      <c r="C48" s="147"/>
      <c r="D48" s="147"/>
      <c r="E48" s="147"/>
      <c r="F48" s="147"/>
      <c r="G48" s="147"/>
      <c r="H48" s="147"/>
      <c r="I48" s="147"/>
      <c r="J48" s="147"/>
      <c r="K48" s="147"/>
      <c r="L48" s="147"/>
      <c r="M48" s="147"/>
      <c r="N48" s="147"/>
      <c r="O48" s="147"/>
      <c r="P48" s="147"/>
      <c r="Q48" s="147"/>
    </row>
    <row r="53" spans="6:6" x14ac:dyDescent="0.3"/>
  </sheetData>
  <sheetProtection password="DD0B" sheet="1" objects="1" scenarios="1"/>
  <conditionalFormatting sqref="F38:J38">
    <cfRule type="expression" dxfId="0" priority="3" stopIfTrue="1">
      <formula>$M$1&lt;&gt;$N$1</formula>
    </cfRule>
  </conditionalFormatting>
  <pageMargins left="0.7" right="0.7" top="0.75" bottom="0.75" header="0.3" footer="0.3"/>
  <pageSetup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W34"/>
  <sheetViews>
    <sheetView workbookViewId="0"/>
  </sheetViews>
  <sheetFormatPr defaultRowHeight="18" x14ac:dyDescent="0.35"/>
  <cols>
    <col min="1" max="2" width="3.109375" customWidth="1"/>
    <col min="3" max="3" width="44.109375" customWidth="1"/>
    <col min="4" max="4" width="16" style="1" customWidth="1"/>
    <col min="5" max="5" width="29.33203125" style="1" customWidth="1"/>
    <col min="6" max="6" width="31.5546875" style="301" customWidth="1"/>
    <col min="7" max="7" width="56.109375" style="299" customWidth="1"/>
  </cols>
  <sheetData>
    <row r="1" spans="3:23" ht="25.8" x14ac:dyDescent="0.5">
      <c r="C1" s="324" t="s">
        <v>248</v>
      </c>
      <c r="D1" s="325"/>
      <c r="E1" s="325"/>
      <c r="F1" s="325"/>
      <c r="G1" s="255" t="s">
        <v>186</v>
      </c>
    </row>
    <row r="2" spans="3:23" x14ac:dyDescent="0.35">
      <c r="C2" s="255" t="s">
        <v>101</v>
      </c>
      <c r="D2" s="255" t="s">
        <v>62</v>
      </c>
    </row>
    <row r="3" spans="3:23" ht="18.600000000000001" thickBot="1" x14ac:dyDescent="0.4"/>
    <row r="4" spans="3:23" ht="24" thickBot="1" x14ac:dyDescent="0.5">
      <c r="C4" s="323" t="s">
        <v>245</v>
      </c>
      <c r="D4" s="277"/>
      <c r="E4" s="277"/>
      <c r="F4" s="300"/>
      <c r="G4" s="266"/>
      <c r="I4" s="167" t="s">
        <v>287</v>
      </c>
      <c r="J4" s="168"/>
      <c r="K4" s="168"/>
      <c r="L4" s="168"/>
      <c r="M4" s="168"/>
      <c r="N4" s="168"/>
      <c r="O4" s="168"/>
      <c r="P4" s="168"/>
      <c r="Q4" s="168"/>
      <c r="R4" s="168"/>
      <c r="S4" s="168"/>
      <c r="T4" s="168"/>
      <c r="U4" s="168"/>
      <c r="V4" s="168"/>
      <c r="W4" s="169"/>
    </row>
    <row r="5" spans="3:23" ht="16.2" thickBot="1" x14ac:dyDescent="0.35">
      <c r="C5" s="319" t="s">
        <v>247</v>
      </c>
      <c r="D5" s="320" t="s">
        <v>246</v>
      </c>
      <c r="E5" s="321" t="s">
        <v>231</v>
      </c>
      <c r="F5" s="320" t="s">
        <v>69</v>
      </c>
      <c r="G5" s="322" t="s">
        <v>69</v>
      </c>
      <c r="I5" s="170"/>
      <c r="J5" s="171"/>
      <c r="K5" s="171"/>
      <c r="L5" s="171"/>
      <c r="M5" s="171"/>
      <c r="N5" s="171"/>
      <c r="O5" s="171"/>
      <c r="P5" s="171"/>
      <c r="Q5" s="171"/>
      <c r="R5" s="171"/>
      <c r="S5" s="171"/>
      <c r="T5" s="171"/>
      <c r="U5" s="171"/>
      <c r="V5" s="171"/>
      <c r="W5" s="172"/>
    </row>
    <row r="6" spans="3:23" x14ac:dyDescent="0.35">
      <c r="C6" s="315" t="s">
        <v>230</v>
      </c>
      <c r="D6" s="309">
        <v>182830</v>
      </c>
      <c r="E6" s="310" t="s">
        <v>251</v>
      </c>
      <c r="F6" s="305" t="s">
        <v>243</v>
      </c>
      <c r="G6" s="305" t="s">
        <v>235</v>
      </c>
      <c r="I6" s="170"/>
      <c r="J6" s="171"/>
      <c r="K6" s="171"/>
      <c r="L6" s="171"/>
      <c r="M6" s="171"/>
      <c r="N6" s="171"/>
      <c r="O6" s="171"/>
      <c r="P6" s="171"/>
      <c r="Q6" s="171"/>
      <c r="R6" s="171"/>
      <c r="S6" s="171"/>
      <c r="T6" s="171"/>
      <c r="U6" s="171"/>
      <c r="V6" s="171"/>
      <c r="W6" s="172"/>
    </row>
    <row r="7" spans="3:23" ht="21" x14ac:dyDescent="0.35">
      <c r="C7" s="316" t="s">
        <v>240</v>
      </c>
      <c r="D7" s="311">
        <v>95</v>
      </c>
      <c r="E7" s="312" t="s">
        <v>232</v>
      </c>
      <c r="F7" s="306">
        <f>D6*D7/(100*8760)*1000000000000</f>
        <v>19827454337899.543</v>
      </c>
      <c r="G7" s="302">
        <f>F10/F14*100</f>
        <v>0.5902315290026916</v>
      </c>
      <c r="I7" s="170"/>
      <c r="J7" s="171"/>
      <c r="K7" s="171"/>
      <c r="L7" s="171"/>
      <c r="M7" s="171"/>
      <c r="N7" s="171"/>
      <c r="O7" s="171"/>
      <c r="P7" s="171"/>
      <c r="Q7" s="171"/>
      <c r="R7" s="171"/>
      <c r="S7" s="171"/>
      <c r="T7" s="171"/>
      <c r="U7" s="171"/>
      <c r="V7" s="171"/>
      <c r="W7" s="172"/>
    </row>
    <row r="8" spans="3:23" x14ac:dyDescent="0.35">
      <c r="C8" s="316" t="s">
        <v>233</v>
      </c>
      <c r="D8" s="311">
        <v>1.2</v>
      </c>
      <c r="E8" s="312" t="s">
        <v>250</v>
      </c>
      <c r="F8" s="307"/>
      <c r="G8" s="303"/>
      <c r="I8" s="170"/>
      <c r="J8" s="171"/>
      <c r="K8" s="171"/>
      <c r="L8" s="171"/>
      <c r="M8" s="171"/>
      <c r="N8" s="171"/>
      <c r="O8" s="171"/>
      <c r="P8" s="171"/>
      <c r="Q8" s="171"/>
      <c r="R8" s="171"/>
      <c r="S8" s="171"/>
      <c r="T8" s="171"/>
      <c r="U8" s="171"/>
      <c r="V8" s="171"/>
      <c r="W8" s="172"/>
    </row>
    <row r="9" spans="3:23" x14ac:dyDescent="0.35">
      <c r="C9" s="316" t="s">
        <v>234</v>
      </c>
      <c r="D9" s="311">
        <v>15.5</v>
      </c>
      <c r="E9" s="312">
        <v>14.5</v>
      </c>
      <c r="F9" s="121" t="s">
        <v>268</v>
      </c>
      <c r="G9" s="121" t="s">
        <v>238</v>
      </c>
      <c r="I9" s="170"/>
      <c r="J9" s="171"/>
      <c r="K9" s="171"/>
      <c r="L9" s="171"/>
      <c r="M9" s="171"/>
      <c r="N9" s="171"/>
      <c r="O9" s="171"/>
      <c r="P9" s="171"/>
      <c r="Q9" s="171"/>
      <c r="R9" s="171"/>
      <c r="S9" s="171"/>
      <c r="T9" s="171"/>
      <c r="U9" s="171"/>
      <c r="V9" s="171"/>
      <c r="W9" s="172"/>
    </row>
    <row r="10" spans="3:23" ht="21" x14ac:dyDescent="0.35">
      <c r="C10" s="317" t="s">
        <v>241</v>
      </c>
      <c r="D10" s="312"/>
      <c r="E10" s="312"/>
      <c r="F10" s="302">
        <f>F7/510000000000000</f>
        <v>3.8877361446861852E-2</v>
      </c>
      <c r="G10" s="302">
        <f>G7*D12*(1+D11)</f>
        <v>2.0557764155163749</v>
      </c>
      <c r="I10" s="170"/>
      <c r="J10" s="171"/>
      <c r="K10" s="171"/>
      <c r="L10" s="171"/>
      <c r="M10" s="171"/>
      <c r="N10" s="171"/>
      <c r="O10" s="171"/>
      <c r="P10" s="171"/>
      <c r="Q10" s="171"/>
      <c r="R10" s="171"/>
      <c r="S10" s="171"/>
      <c r="T10" s="171"/>
      <c r="U10" s="171"/>
      <c r="V10" s="171"/>
      <c r="W10" s="172"/>
    </row>
    <row r="11" spans="3:23" x14ac:dyDescent="0.35">
      <c r="C11" s="316" t="s">
        <v>236</v>
      </c>
      <c r="D11" s="311">
        <v>0.62</v>
      </c>
      <c r="E11" s="312">
        <v>0.62</v>
      </c>
      <c r="F11" s="307"/>
      <c r="G11" s="303"/>
      <c r="I11" s="170"/>
      <c r="J11" s="171"/>
      <c r="K11" s="171"/>
      <c r="L11" s="171"/>
      <c r="M11" s="171"/>
      <c r="N11" s="171"/>
      <c r="O11" s="171"/>
      <c r="P11" s="171"/>
      <c r="Q11" s="171"/>
      <c r="R11" s="171"/>
      <c r="S11" s="171"/>
      <c r="T11" s="171"/>
      <c r="U11" s="171"/>
      <c r="V11" s="171"/>
      <c r="W11" s="172"/>
    </row>
    <row r="12" spans="3:23" x14ac:dyDescent="0.35">
      <c r="C12" s="316" t="s">
        <v>237</v>
      </c>
      <c r="D12" s="311">
        <v>2.15</v>
      </c>
      <c r="E12" s="312">
        <v>2.15</v>
      </c>
      <c r="F12" s="121" t="s">
        <v>244</v>
      </c>
      <c r="G12" s="121" t="s">
        <v>238</v>
      </c>
      <c r="I12" s="170"/>
      <c r="J12" s="171"/>
      <c r="K12" s="171"/>
      <c r="L12" s="171"/>
      <c r="M12" s="171"/>
      <c r="N12" s="171"/>
      <c r="O12" s="171"/>
      <c r="P12" s="171"/>
      <c r="Q12" s="171"/>
      <c r="R12" s="171"/>
      <c r="S12" s="171"/>
      <c r="T12" s="171"/>
      <c r="U12" s="171"/>
      <c r="V12" s="171"/>
      <c r="W12" s="172"/>
    </row>
    <row r="13" spans="3:23" ht="21" x14ac:dyDescent="0.4">
      <c r="C13" s="316" t="s">
        <v>239</v>
      </c>
      <c r="D13" s="311">
        <v>3.2</v>
      </c>
      <c r="E13" s="312" t="s">
        <v>269</v>
      </c>
      <c r="F13" s="346" t="str">
        <f>"Due to "&amp;D8&amp;"C Rise"</f>
        <v>Due to 1.2C Rise</v>
      </c>
      <c r="G13" s="121" t="str">
        <f>"and UHI Amplification and "&amp;D14&amp;"% Energy Used in UHIs"</f>
        <v>and UHI Amplification and 70% Energy Used in UHIs</v>
      </c>
      <c r="I13" s="170"/>
      <c r="J13" s="171"/>
      <c r="K13" s="171"/>
      <c r="L13" s="171"/>
      <c r="M13" s="171"/>
      <c r="N13" s="171"/>
      <c r="O13" s="171"/>
      <c r="P13" s="171"/>
      <c r="Q13" s="171"/>
      <c r="R13" s="171"/>
      <c r="S13" s="171"/>
      <c r="T13" s="171"/>
      <c r="U13" s="171"/>
      <c r="V13" s="171"/>
      <c r="W13" s="172"/>
    </row>
    <row r="14" spans="3:23" ht="21.6" thickBot="1" x14ac:dyDescent="0.4">
      <c r="C14" s="318" t="s">
        <v>242</v>
      </c>
      <c r="D14" s="313">
        <v>70</v>
      </c>
      <c r="E14" s="314">
        <v>70</v>
      </c>
      <c r="F14" s="302">
        <f>0.00000005670367*((D9+273.15+D8)^4-(D9+273.15)^4)</f>
        <v>6.58679849118744</v>
      </c>
      <c r="G14" s="304">
        <f>G10*((D13*D14/100)+(100-D14)/100)</f>
        <v>5.2216720954115923</v>
      </c>
      <c r="I14" s="170"/>
      <c r="J14" s="171"/>
      <c r="K14" s="171"/>
      <c r="L14" s="171"/>
      <c r="M14" s="171"/>
      <c r="N14" s="171"/>
      <c r="O14" s="171"/>
      <c r="P14" s="171"/>
      <c r="Q14" s="171"/>
      <c r="R14" s="171"/>
      <c r="S14" s="171"/>
      <c r="T14" s="171"/>
      <c r="U14" s="171"/>
      <c r="V14" s="171"/>
      <c r="W14" s="172"/>
    </row>
    <row r="15" spans="3:23" ht="23.4" x14ac:dyDescent="0.45">
      <c r="C15" s="344" t="s">
        <v>193</v>
      </c>
      <c r="I15" s="170"/>
      <c r="J15" s="171"/>
      <c r="K15" s="171"/>
      <c r="L15" s="171"/>
      <c r="M15" s="171"/>
      <c r="N15" s="171"/>
      <c r="O15" s="171"/>
      <c r="P15" s="171"/>
      <c r="Q15" s="171"/>
      <c r="R15" s="171"/>
      <c r="S15" s="171"/>
      <c r="T15" s="171"/>
      <c r="U15" s="171"/>
      <c r="V15" s="171"/>
      <c r="W15" s="172"/>
    </row>
    <row r="16" spans="3:23" x14ac:dyDescent="0.35">
      <c r="I16" s="170"/>
      <c r="J16" s="171"/>
      <c r="K16" s="171"/>
      <c r="L16" s="171"/>
      <c r="M16" s="171"/>
      <c r="N16" s="171"/>
      <c r="O16" s="171"/>
      <c r="P16" s="171"/>
      <c r="Q16" s="171"/>
      <c r="R16" s="171"/>
      <c r="S16" s="171"/>
      <c r="T16" s="171"/>
      <c r="U16" s="171"/>
      <c r="V16" s="171"/>
      <c r="W16" s="172"/>
    </row>
    <row r="17" spans="3:23" ht="24" thickBot="1" x14ac:dyDescent="0.5">
      <c r="C17" s="323" t="s">
        <v>256</v>
      </c>
      <c r="D17" s="277"/>
      <c r="E17" s="277"/>
      <c r="F17" s="300"/>
      <c r="G17" s="266"/>
      <c r="I17" s="170"/>
      <c r="J17" s="171"/>
      <c r="K17" s="171"/>
      <c r="L17" s="171"/>
      <c r="M17" s="171"/>
      <c r="N17" s="171"/>
      <c r="O17" s="171"/>
      <c r="P17" s="171"/>
      <c r="Q17" s="171"/>
      <c r="R17" s="171"/>
      <c r="S17" s="171"/>
      <c r="T17" s="171"/>
      <c r="U17" s="171"/>
      <c r="V17" s="171"/>
      <c r="W17" s="172"/>
    </row>
    <row r="18" spans="3:23" ht="16.2" thickBot="1" x14ac:dyDescent="0.35">
      <c r="C18" s="337" t="s">
        <v>247</v>
      </c>
      <c r="D18" s="320" t="s">
        <v>246</v>
      </c>
      <c r="E18" s="321" t="s">
        <v>231</v>
      </c>
      <c r="F18" s="320" t="s">
        <v>69</v>
      </c>
      <c r="G18" s="322" t="s">
        <v>261</v>
      </c>
      <c r="I18" s="170"/>
      <c r="J18" s="171"/>
      <c r="K18" s="171"/>
      <c r="L18" s="171"/>
      <c r="M18" s="171"/>
      <c r="N18" s="171"/>
      <c r="O18" s="171"/>
      <c r="P18" s="171"/>
      <c r="Q18" s="171"/>
      <c r="R18" s="171"/>
      <c r="S18" s="171"/>
      <c r="T18" s="171"/>
      <c r="U18" s="171"/>
      <c r="V18" s="171"/>
      <c r="W18" s="172"/>
    </row>
    <row r="19" spans="3:23" ht="18.600000000000001" thickBot="1" x14ac:dyDescent="0.4">
      <c r="C19" s="330" t="s">
        <v>249</v>
      </c>
      <c r="D19" s="333">
        <v>0.35</v>
      </c>
      <c r="E19" s="339" t="s">
        <v>270</v>
      </c>
      <c r="F19" s="121" t="s">
        <v>244</v>
      </c>
      <c r="G19" s="305" t="s">
        <v>262</v>
      </c>
      <c r="I19" s="170"/>
      <c r="J19" s="171"/>
      <c r="K19" s="171"/>
      <c r="L19" s="171"/>
      <c r="M19" s="171"/>
      <c r="N19" s="171"/>
      <c r="O19" s="171"/>
      <c r="P19" s="171"/>
      <c r="Q19" s="171"/>
      <c r="R19" s="171"/>
      <c r="S19" s="171"/>
      <c r="T19" s="171"/>
      <c r="U19" s="171"/>
      <c r="V19" s="171"/>
      <c r="W19" s="172"/>
    </row>
    <row r="20" spans="3:23" ht="21" x14ac:dyDescent="0.35">
      <c r="C20" s="326" t="s">
        <v>264</v>
      </c>
      <c r="D20" s="334">
        <v>0.39</v>
      </c>
      <c r="E20" s="343">
        <v>0.38</v>
      </c>
      <c r="F20" s="302">
        <f>0.00000005670367*((D24+273.15+D23)^4-(D24+273.15)^4)</f>
        <v>5.4833005149317362</v>
      </c>
      <c r="G20" s="302">
        <f>(F23*(1+D26)*D27/F20)*100</f>
        <v>2.5312177034578949</v>
      </c>
      <c r="I20" s="170"/>
      <c r="J20" s="171"/>
      <c r="K20" s="171"/>
      <c r="L20" s="171"/>
      <c r="M20" s="171"/>
      <c r="N20" s="171"/>
      <c r="O20" s="171"/>
      <c r="P20" s="171"/>
      <c r="Q20" s="171"/>
      <c r="R20" s="171"/>
      <c r="S20" s="171"/>
      <c r="T20" s="171"/>
      <c r="U20" s="171"/>
      <c r="V20" s="171"/>
      <c r="W20" s="172"/>
    </row>
    <row r="21" spans="3:23" x14ac:dyDescent="0.35">
      <c r="C21" s="326" t="s">
        <v>255</v>
      </c>
      <c r="D21" s="334">
        <v>7.0000000000000007E-2</v>
      </c>
      <c r="E21" s="331">
        <v>7.4999999999999997E-2</v>
      </c>
      <c r="F21" s="307"/>
      <c r="G21" s="303"/>
      <c r="I21" s="170"/>
      <c r="J21" s="171"/>
      <c r="K21" s="171"/>
      <c r="L21" s="171"/>
      <c r="M21" s="171"/>
      <c r="N21" s="171"/>
      <c r="O21" s="171"/>
      <c r="P21" s="171"/>
      <c r="Q21" s="171"/>
      <c r="R21" s="171"/>
      <c r="S21" s="171"/>
      <c r="T21" s="171"/>
      <c r="U21" s="171"/>
      <c r="V21" s="171"/>
      <c r="W21" s="172"/>
    </row>
    <row r="22" spans="3:23" x14ac:dyDescent="0.35">
      <c r="C22" s="326" t="s">
        <v>265</v>
      </c>
      <c r="D22" s="334">
        <v>340.25</v>
      </c>
      <c r="E22" s="299" t="s">
        <v>258</v>
      </c>
      <c r="F22" s="121" t="s">
        <v>259</v>
      </c>
      <c r="G22" s="121" t="s">
        <v>238</v>
      </c>
      <c r="I22" s="170"/>
      <c r="J22" s="171"/>
      <c r="K22" s="171"/>
      <c r="L22" s="171"/>
      <c r="M22" s="171"/>
      <c r="N22" s="171"/>
      <c r="O22" s="171"/>
      <c r="P22" s="171"/>
      <c r="Q22" s="171"/>
      <c r="R22" s="171"/>
      <c r="S22" s="171"/>
      <c r="T22" s="171"/>
      <c r="U22" s="171"/>
      <c r="V22" s="171"/>
      <c r="W22" s="172"/>
    </row>
    <row r="23" spans="3:23" ht="21" x14ac:dyDescent="0.35">
      <c r="C23" s="326" t="s">
        <v>267</v>
      </c>
      <c r="D23" s="334">
        <v>1</v>
      </c>
      <c r="E23" s="331" t="s">
        <v>250</v>
      </c>
      <c r="F23" s="302">
        <f>D22*(D19/100)*(D30/100)*1.1*(0.2-D21)*D20</f>
        <v>3.9849059250000006E-2</v>
      </c>
      <c r="G23" s="341">
        <f>F26*(D26+1)*D27*100/F20</f>
        <v>3.37495693794386</v>
      </c>
      <c r="I23" s="170"/>
      <c r="J23" s="171"/>
      <c r="K23" s="171"/>
      <c r="L23" s="171"/>
      <c r="M23" s="171"/>
      <c r="N23" s="171"/>
      <c r="O23" s="171"/>
      <c r="P23" s="171"/>
      <c r="Q23" s="171"/>
      <c r="R23" s="171"/>
      <c r="S23" s="171"/>
      <c r="T23" s="171"/>
      <c r="U23" s="171"/>
      <c r="V23" s="171"/>
      <c r="W23" s="172"/>
    </row>
    <row r="24" spans="3:23" x14ac:dyDescent="0.35">
      <c r="C24" s="327" t="s">
        <v>254</v>
      </c>
      <c r="D24" s="334">
        <v>15.5</v>
      </c>
      <c r="E24" s="331" t="s">
        <v>257</v>
      </c>
      <c r="F24" s="307"/>
      <c r="G24" s="303"/>
      <c r="I24" s="170"/>
      <c r="J24" s="171"/>
      <c r="K24" s="171"/>
      <c r="L24" s="171"/>
      <c r="M24" s="171"/>
      <c r="N24" s="171"/>
      <c r="O24" s="171"/>
      <c r="P24" s="171"/>
      <c r="Q24" s="171"/>
      <c r="R24" s="171"/>
      <c r="S24" s="171"/>
      <c r="T24" s="171"/>
      <c r="U24" s="171"/>
      <c r="V24" s="171"/>
      <c r="W24" s="172"/>
    </row>
    <row r="25" spans="3:23" x14ac:dyDescent="0.35">
      <c r="C25" s="329" t="s">
        <v>241</v>
      </c>
      <c r="D25" s="335"/>
      <c r="E25" s="331"/>
      <c r="F25" s="121" t="s">
        <v>260</v>
      </c>
      <c r="G25" s="121" t="s">
        <v>263</v>
      </c>
      <c r="I25" s="170"/>
      <c r="J25" s="171"/>
      <c r="K25" s="171"/>
      <c r="L25" s="171"/>
      <c r="M25" s="171"/>
      <c r="N25" s="171"/>
      <c r="O25" s="171"/>
      <c r="P25" s="171"/>
      <c r="Q25" s="171"/>
      <c r="R25" s="171"/>
      <c r="S25" s="171"/>
      <c r="T25" s="171"/>
      <c r="U25" s="171"/>
      <c r="V25" s="171"/>
      <c r="W25" s="172"/>
    </row>
    <row r="26" spans="3:23" ht="21.6" thickBot="1" x14ac:dyDescent="0.4">
      <c r="C26" s="326" t="s">
        <v>236</v>
      </c>
      <c r="D26" s="334">
        <v>0.62</v>
      </c>
      <c r="E26" s="331">
        <v>0.62</v>
      </c>
      <c r="F26" s="302">
        <f>D22*(D19/100)*(D29/100)*D28*(0.2-D21)*D20</f>
        <v>5.3132079000000013E-2</v>
      </c>
      <c r="G26" s="340">
        <f>G20+G23</f>
        <v>5.9061746414017549</v>
      </c>
      <c r="I26" s="170"/>
      <c r="J26" s="171"/>
      <c r="K26" s="171"/>
      <c r="L26" s="171"/>
      <c r="M26" s="171"/>
      <c r="N26" s="171"/>
      <c r="O26" s="171"/>
      <c r="P26" s="171"/>
      <c r="Q26" s="171"/>
      <c r="R26" s="171"/>
      <c r="S26" s="171"/>
      <c r="T26" s="171"/>
      <c r="U26" s="171"/>
      <c r="V26" s="171"/>
      <c r="W26" s="172"/>
    </row>
    <row r="27" spans="3:23" ht="18.600000000000001" thickBot="1" x14ac:dyDescent="0.4">
      <c r="C27" s="326" t="s">
        <v>237</v>
      </c>
      <c r="D27" s="334">
        <v>2.15</v>
      </c>
      <c r="E27" s="331">
        <v>2.15</v>
      </c>
      <c r="F27" s="308"/>
      <c r="I27" s="173"/>
      <c r="J27" s="174"/>
      <c r="K27" s="174"/>
      <c r="L27" s="174"/>
      <c r="M27" s="174"/>
      <c r="N27" s="174"/>
      <c r="O27" s="174"/>
      <c r="P27" s="174"/>
      <c r="Q27" s="174"/>
      <c r="R27" s="174"/>
      <c r="S27" s="174"/>
      <c r="T27" s="174"/>
      <c r="U27" s="174"/>
      <c r="V27" s="174"/>
      <c r="W27" s="175"/>
    </row>
    <row r="28" spans="3:23" ht="18.600000000000001" thickBot="1" x14ac:dyDescent="0.4">
      <c r="C28" s="326" t="s">
        <v>239</v>
      </c>
      <c r="D28" s="334">
        <v>2.2000000000000002</v>
      </c>
      <c r="E28" s="331">
        <v>2.2000000000000002</v>
      </c>
    </row>
    <row r="29" spans="3:23" x14ac:dyDescent="0.35">
      <c r="C29" s="327" t="s">
        <v>252</v>
      </c>
      <c r="D29" s="334">
        <v>40</v>
      </c>
      <c r="E29" s="338">
        <v>0.4</v>
      </c>
      <c r="G29" s="305" t="s">
        <v>271</v>
      </c>
    </row>
    <row r="30" spans="3:23" ht="18.600000000000001" thickBot="1" x14ac:dyDescent="0.4">
      <c r="C30" s="332" t="s">
        <v>253</v>
      </c>
      <c r="D30" s="336">
        <v>60</v>
      </c>
      <c r="E30" s="338">
        <v>0.6</v>
      </c>
      <c r="G30" s="342">
        <f>G26+G14</f>
        <v>11.127846736813346</v>
      </c>
    </row>
    <row r="31" spans="3:23" ht="23.4" x14ac:dyDescent="0.45">
      <c r="C31" s="344" t="s">
        <v>193</v>
      </c>
    </row>
    <row r="33" spans="3:8" ht="14.4" x14ac:dyDescent="0.3">
      <c r="C33" s="357" t="s">
        <v>284</v>
      </c>
      <c r="D33" s="347"/>
      <c r="E33" s="347"/>
      <c r="F33" s="347"/>
      <c r="G33" s="347"/>
      <c r="H33" s="347"/>
    </row>
    <row r="34" spans="3:8" ht="14.4" x14ac:dyDescent="0.3">
      <c r="C34" s="357" t="s">
        <v>272</v>
      </c>
      <c r="D34" s="347"/>
      <c r="E34" s="347"/>
      <c r="F34" s="347"/>
      <c r="G34" s="347"/>
      <c r="H34" s="347"/>
    </row>
  </sheetData>
  <sheetProtection password="DD0B" sheet="1" objects="1" scenarios="1"/>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and Info</vt:lpstr>
      <vt:lpstr>1-UHI Reflec</vt:lpstr>
      <vt:lpstr>2-ASG</vt:lpstr>
      <vt:lpstr>3-GMEEB</vt:lpstr>
      <vt:lpstr>4-GW Urbanization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Alec</dc:creator>
  <cp:lastModifiedBy>Alec</cp:lastModifiedBy>
  <dcterms:created xsi:type="dcterms:W3CDTF">2020-07-11T16:05:17Z</dcterms:created>
  <dcterms:modified xsi:type="dcterms:W3CDTF">2024-08-07T20:07:45Z</dcterms:modified>
</cp:coreProperties>
</file>